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Inputs" sheetId="2" state="visible" r:id="rId2"/>
    <sheet xmlns:r="http://schemas.openxmlformats.org/officeDocument/2006/relationships" name="Forecast" sheetId="3" state="visible" r:id="rId3"/>
    <sheet xmlns:r="http://schemas.openxmlformats.org/officeDocument/2006/relationships" name="Scenarios" sheetId="4" state="visible" r:id="rId4"/>
    <sheet xmlns:r="http://schemas.openxmlformats.org/officeDocument/2006/relationships" name="Dashboard" sheetId="5" state="visible" r:id="rId5"/>
  </sheets>
  <definedNames/>
  <calcPr calcId="124519" fullCalcOnLoad="1"/>
</workbook>
</file>

<file path=xl/styles.xml><?xml version="1.0" encoding="utf-8"?>
<styleSheet xmlns="http://schemas.openxmlformats.org/spreadsheetml/2006/main">
  <numFmts count="3">
    <numFmt numFmtId="164" formatCode="&quot;£&quot;#,##0.00"/>
    <numFmt numFmtId="165" formatCode="0.0%"/>
    <numFmt numFmtId="166" formatCode="#,##0.0"/>
  </numFmts>
  <fonts count="5">
    <font>
      <name val="Calibri"/>
      <family val="2"/>
      <color theme="1"/>
      <sz val="11"/>
      <scheme val="minor"/>
    </font>
    <font>
      <name val="Calibri"/>
      <b val="1"/>
      <color rgb="00FFFFFF"/>
      <sz val="14"/>
    </font>
    <font>
      <name val="Calibri"/>
      <b val="1"/>
      <sz val="11"/>
    </font>
    <font>
      <name val="Calibri"/>
      <b val="1"/>
      <color rgb="00FFFFFF"/>
      <sz val="11"/>
    </font>
    <font>
      <name val="Calibri"/>
      <b val="1"/>
      <color rgb="000F2B5B"/>
      <sz val="12"/>
    </font>
  </fonts>
  <fills count="5">
    <fill>
      <patternFill/>
    </fill>
    <fill>
      <patternFill patternType="gray125"/>
    </fill>
    <fill>
      <patternFill patternType="solid">
        <fgColor rgb="000F2B5B"/>
      </patternFill>
    </fill>
    <fill>
      <patternFill patternType="solid">
        <fgColor rgb="00FCBD01"/>
      </patternFill>
    </fill>
    <fill>
      <patternFill patternType="solid">
        <fgColor rgb="00FFF2CC"/>
      </patternFill>
    </fill>
  </fills>
  <borders count="2">
    <border>
      <left/>
      <right/>
      <top/>
      <bottom/>
      <diagonal/>
    </border>
    <border>
      <left style="thin">
        <color rgb="00B0B0B0"/>
      </left>
      <right style="thin">
        <color rgb="00B0B0B0"/>
      </right>
      <top style="thin">
        <color rgb="00B0B0B0"/>
      </top>
      <bottom style="thin">
        <color rgb="00B0B0B0"/>
      </bottom>
    </border>
  </borders>
  <cellStyleXfs count="1">
    <xf numFmtId="0" fontId="0" fillId="0" borderId="0"/>
  </cellStyleXfs>
  <cellXfs count="19">
    <xf numFmtId="0" fontId="0" fillId="0" borderId="0" pivotButton="0" quotePrefix="0" xfId="0"/>
    <xf numFmtId="0" fontId="1" fillId="2" borderId="0" applyAlignment="1" pivotButton="0" quotePrefix="0" xfId="0">
      <alignment vertical="center"/>
    </xf>
    <xf numFmtId="0" fontId="0" fillId="3" borderId="0" pivotButton="0" quotePrefix="0" xfId="0"/>
    <xf numFmtId="0" fontId="2" fillId="0" borderId="0" applyAlignment="1" pivotButton="0" quotePrefix="0" xfId="0">
      <alignment vertical="top" wrapText="1"/>
    </xf>
    <xf numFmtId="0" fontId="0" fillId="0" borderId="0" applyAlignment="1" pivotButton="0" quotePrefix="0" xfId="0">
      <alignment vertical="top" wrapText="1"/>
    </xf>
    <xf numFmtId="0" fontId="3" fillId="2" borderId="1" pivotButton="0" quotePrefix="0" xfId="0"/>
    <xf numFmtId="0" fontId="0" fillId="0" borderId="1" pivotButton="0" quotePrefix="0" xfId="0"/>
    <xf numFmtId="164" fontId="0" fillId="4" borderId="1" pivotButton="0" quotePrefix="0" xfId="0"/>
    <xf numFmtId="165" fontId="0" fillId="4" borderId="1" pivotButton="0" quotePrefix="0" xfId="0"/>
    <xf numFmtId="3" fontId="0" fillId="4" borderId="1" pivotButton="0" quotePrefix="0" xfId="0"/>
    <xf numFmtId="0" fontId="3" fillId="2" borderId="0" applyAlignment="1" pivotButton="0" quotePrefix="0" xfId="0">
      <alignment vertical="center" wrapText="1"/>
    </xf>
    <xf numFmtId="164" fontId="0" fillId="0" borderId="1" pivotButton="0" quotePrefix="0" xfId="0"/>
    <xf numFmtId="0" fontId="3" fillId="2" borderId="0" pivotButton="0" quotePrefix="0" xfId="0"/>
    <xf numFmtId="0" fontId="2" fillId="0" borderId="0" pivotButton="0" quotePrefix="0" xfId="0"/>
    <xf numFmtId="3" fontId="0" fillId="0" borderId="1" pivotButton="0" quotePrefix="0" xfId="0"/>
    <xf numFmtId="164" fontId="2" fillId="0" borderId="1" pivotButton="0" quotePrefix="0" xfId="0"/>
    <xf numFmtId="0" fontId="4" fillId="3" borderId="0" applyAlignment="1" pivotButton="0" quotePrefix="0" xfId="0">
      <alignment vertical="center" wrapText="1"/>
    </xf>
    <xf numFmtId="165" fontId="0" fillId="0" borderId="1" pivotButton="0" quotePrefix="0" xfId="0"/>
    <xf numFmtId="166" fontId="0"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26"/>
  <sheetViews>
    <sheetView workbookViewId="0">
      <selection activeCell="A1" sqref="A1"/>
    </sheetView>
  </sheetViews>
  <sheetFormatPr baseColWidth="8" defaultRowHeight="15"/>
  <cols>
    <col width="110" customWidth="1" min="1" max="1"/>
    <col width="3" customWidth="1" min="2" max="2"/>
    <col width="3" customWidth="1" min="3" max="3"/>
    <col width="3" customWidth="1" min="4" max="4"/>
    <col width="3" customWidth="1" min="5" max="5"/>
    <col width="3" customWidth="1" min="6" max="6"/>
  </cols>
  <sheetData>
    <row r="1" ht="26" customHeight="1">
      <c r="A1" s="1" t="inlineStr">
        <is>
          <t>EASY MODELS — FINANCIAL FORECAST MODEL</t>
        </is>
      </c>
    </row>
    <row r="2" ht="6" customHeight="1">
      <c r="A2" s="2" t="n"/>
    </row>
    <row r="4" ht="18" customHeight="1">
      <c r="A4" s="3" t="inlineStr">
        <is>
          <t>WHAT THIS IS</t>
        </is>
      </c>
    </row>
    <row r="5" ht="60" customHeight="1">
      <c r="A5" s="4" t="inlineStr">
        <is>
          <t>A three-year forecast, month by month, for a business that needs capital. It answers the four questions every lender or investor asks: How much do you need? What is the deepest the cash goes? When does the business start paying for itself? And what happens if you are wrong? Type your own numbers over the pale cells on the Inputs sheet — everything else works itself out.</t>
        </is>
      </c>
    </row>
    <row r="7" ht="18" customHeight="1">
      <c r="A7" s="3" t="inlineStr">
        <is>
          <t>THE EXAMPLE — READ THIS FIRST</t>
        </is>
      </c>
    </row>
    <row r="8" ht="60" customHeight="1">
      <c r="A8" s="4" t="inlineStr">
        <is>
          <t>Every figure in this workbook is an EXAMPLE: a small services startup with £8,000 in the bank, asking for £25,000, starting at £3,200 a month of revenue. The example is there so you can see the model working before you trust it with your own numbers. Replace the example with your reality, line by line.</t>
        </is>
      </c>
    </row>
    <row r="10" ht="18" customHeight="1">
      <c r="A10" s="3" t="inlineStr">
        <is>
          <t>HOW TO USE IT</t>
        </is>
      </c>
    </row>
    <row r="11" ht="45" customHeight="1">
      <c r="A11" s="4" t="inlineStr">
        <is>
          <t>1. INPUTS — type over the pale cells: your starting cash, the funding you are asking for, your first month's revenue, how fast you honestly expect it to grow, and every monthly cost. Nothing else in the workbook needs typing.</t>
        </is>
      </c>
    </row>
    <row r="12" ht="45" customHeight="1">
      <c r="A12" s="4" t="inlineStr">
        <is>
          <t>2. FORECAST — 36 months of the Base plan: revenue, costs, profit or loss, and the cash line. Watch the Closing cash column — its lowest point is where plans live or die.</t>
        </is>
      </c>
    </row>
    <row r="13" ht="60" customHeight="1">
      <c r="A13" s="4" t="inlineStr">
        <is>
          <t>3. SCENARIOS — the same plan run Low and High. Low is revenue 20% lower and growth 2 points slower; High is 20% higher and 2 points faster. Costs do not change. If the Low plan runs the bank dry, a lender will find that too.</t>
        </is>
      </c>
    </row>
    <row r="14" ht="45" customHeight="1">
      <c r="A14" s="4" t="inlineStr">
        <is>
          <t>4. DASHBOARD — the answers on one page: the one number (how long the cash lasts), the funding test, the break-even month, and your gross margin against the benchmark.</t>
        </is>
      </c>
    </row>
    <row r="16" ht="18" customHeight="1">
      <c r="A16" s="3" t="inlineStr">
        <is>
          <t>MEASURE THE MODEL AGAINST REALITY — THE ONE RULE</t>
        </is>
      </c>
    </row>
    <row r="17" ht="90" customHeight="1">
      <c r="A17" s="4" t="inlineStr">
        <is>
          <t>A forecast that is never measured is a wish. When each month ends, type the real revenue and the real costs over that month's figures on the Forecast sheet (they replace the forecast for that month, and the cash line updates itself). Then write one short line in that month's Notes column explaining every big difference between what you forecast and what happened. The explanation is where the learning lives — and a lender who sees a plan measured against reality trusts it more than a perfect-looking one.</t>
        </is>
      </c>
    </row>
    <row r="19" ht="18" customHeight="1">
      <c r="A19" s="3" t="inlineStr">
        <is>
          <t>THE WORDS WE USE</t>
        </is>
      </c>
    </row>
    <row r="20" ht="75" customHeight="1">
      <c r="A20" s="4" t="inlineStr">
        <is>
          <t>Break-even month: the first month the monthly profit reaches £0 or better AND stays there in every month after it. A single good month does not count. — Deepest hole: the lowest the cash would fall WITHOUT the funding; the funding actually needed is whatever lifts that lowest point back to £0. — Runway: how many months until the bank first goes below £0. — Gross margin: revenue less the staff who deliver the work, divided by revenue, for year 1 of the Base plan.</t>
        </is>
      </c>
    </row>
    <row r="22" ht="18" customHeight="1">
      <c r="A22" s="3" t="inlineStr">
        <is>
          <t>MONEY NOTES</t>
        </is>
      </c>
    </row>
    <row r="23" ht="60" customHeight="1">
      <c r="A23" s="4" t="inlineStr">
        <is>
          <t>All figures are NET of VAT. If you are VAT registered, the VAT you collect is never your money — keep it apart, exactly like the tax reserve in the Cash Book. Owner drawings are shown as a cost line so the cash line stays honest; how they are taxed is a separate question.</t>
        </is>
      </c>
    </row>
    <row r="25" ht="18" customHeight="1">
      <c r="A25" s="3" t="inlineStr">
        <is>
          <t>WHAT THIS IS NOT</t>
        </is>
      </c>
    </row>
    <row r="26" ht="60" customHeight="1">
      <c r="A26" s="4" t="inlineStr">
        <is>
          <t>This is a planning tool, not advice, and it is free to use. It does not promise that a lender will say yes. It improves your chances: clearer sight, honest numbers, fewer surprises. If you get stuck building your own version, paid help exists — the model can be built for you. — Template by Biz Models.</t>
        </is>
      </c>
    </row>
  </sheetData>
  <mergeCells count="19">
    <mergeCell ref="A16:F16"/>
    <mergeCell ref="A12:F12"/>
    <mergeCell ref="A26:F26"/>
    <mergeCell ref="A2:F2"/>
    <mergeCell ref="A14:F14"/>
    <mergeCell ref="A5:F5"/>
    <mergeCell ref="A23:F23"/>
    <mergeCell ref="A8:F8"/>
    <mergeCell ref="A22:F22"/>
    <mergeCell ref="A17:F17"/>
    <mergeCell ref="A4:F4"/>
    <mergeCell ref="A20:F20"/>
    <mergeCell ref="A10:F10"/>
    <mergeCell ref="A13:F13"/>
    <mergeCell ref="A19:F19"/>
    <mergeCell ref="A11:F11"/>
    <mergeCell ref="A1:F1"/>
    <mergeCell ref="A7:F7"/>
    <mergeCell ref="A25:F25"/>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46" customWidth="1" min="1" max="1"/>
    <col width="18" customWidth="1" min="2" max="2"/>
    <col width="78" customWidth="1" min="3" max="3"/>
  </cols>
  <sheetData>
    <row r="1" ht="26" customHeight="1">
      <c r="A1" s="1" t="inlineStr">
        <is>
          <t>INPUTS — TYPE OVER THE PALE CELLS (EXAMPLE FIGURES SHOWN)</t>
        </is>
      </c>
    </row>
    <row r="2" ht="6" customHeight="1">
      <c r="A2" s="2" t="n"/>
    </row>
    <row r="4">
      <c r="A4" s="5" t="inlineStr">
        <is>
          <t>THE STARTING POINT</t>
        </is>
      </c>
    </row>
    <row r="5" ht="30" customHeight="1">
      <c r="A5" s="6" t="inlineStr">
        <is>
          <t>Cash in the bank on day 1</t>
        </is>
      </c>
      <c r="B5" s="7" t="n">
        <v>8000</v>
      </c>
      <c r="C5" s="4" t="inlineStr">
        <is>
          <t>What you actually have, not what you hope to have.</t>
        </is>
      </c>
    </row>
    <row r="6" ht="30" customHeight="1">
      <c r="A6" s="6" t="inlineStr">
        <is>
          <t>Funding you are asking for</t>
        </is>
      </c>
      <c r="B6" s="7" t="n">
        <v>25000</v>
      </c>
      <c r="C6" s="4" t="inlineStr">
        <is>
          <t>The loan or investment. It lands in month 1. The Dashboard tests whether this ask covers the deepest hole.</t>
        </is>
      </c>
    </row>
    <row r="7" ht="30" customHeight="1">
      <c r="A7" s="6" t="inlineStr">
        <is>
          <t>Revenue in month 1</t>
        </is>
      </c>
      <c r="B7" s="7" t="n">
        <v>3200</v>
      </c>
      <c r="C7" s="4" t="inlineStr">
        <is>
          <t>Your first month's sales, net of VAT. If you are pre-trading, your best honest estimate — the Low scenario will test it.</t>
        </is>
      </c>
    </row>
    <row r="8" ht="30" customHeight="1">
      <c r="A8" s="6" t="inlineStr">
        <is>
          <t>Revenue growth per month — year 1</t>
        </is>
      </c>
      <c r="B8" s="8" t="n">
        <v>0.06</v>
      </c>
      <c r="C8" s="4" t="inlineStr">
        <is>
          <t>How fast revenue grows each month in year 1. Be strict: use the growth you can defend, not the growth you dream of.</t>
        </is>
      </c>
    </row>
    <row r="9" ht="30" customHeight="1">
      <c r="A9" s="6" t="inlineStr">
        <is>
          <t>Revenue growth per month — years 2 and 3</t>
        </is>
      </c>
      <c r="B9" s="8" t="n">
        <v>0.03</v>
      </c>
      <c r="C9" s="4" t="inlineStr">
        <is>
          <t>Growth usually slows as the business matures.</t>
        </is>
      </c>
    </row>
    <row r="10">
      <c r="A10" s="5" t="inlineStr">
        <is>
          <t>MONTHLY COSTS</t>
        </is>
      </c>
    </row>
    <row r="11" ht="30" customHeight="1">
      <c r="A11" s="6" t="inlineStr">
        <is>
          <t>Owner drawings per month</t>
        </is>
      </c>
      <c r="B11" s="7" t="n">
        <v>2200</v>
      </c>
      <c r="C11" s="4" t="inlineStr">
        <is>
          <t>What the owner takes out to live on. It is real cash out, so it belongs in the forecast.</t>
        </is>
      </c>
    </row>
    <row r="12" ht="30" customHeight="1">
      <c r="A12" s="6" t="inlineStr">
        <is>
          <t>Staff cost per month</t>
        </is>
      </c>
      <c r="B12" s="7" t="n">
        <v>1800</v>
      </c>
      <c r="C12" s="4" t="inlineStr">
        <is>
          <t>Total wages cost of the people who deliver the work.</t>
        </is>
      </c>
    </row>
    <row r="13" ht="30" customHeight="1">
      <c r="A13" s="6" t="inlineStr">
        <is>
          <t>Staff start in month</t>
        </is>
      </c>
      <c r="B13" s="9" t="n">
        <v>4</v>
      </c>
      <c r="C13" s="4" t="inlineStr">
        <is>
          <t>The month the staff cost begins (1 = from the start).</t>
        </is>
      </c>
    </row>
    <row r="14" ht="30" customHeight="1">
      <c r="A14" s="6" t="inlineStr">
        <is>
          <t>Rent per month</t>
        </is>
      </c>
      <c r="B14" s="7" t="n">
        <v>750</v>
      </c>
      <c r="C14" s="4" t="inlineStr">
        <is>
          <t>Premises, if any.</t>
        </is>
      </c>
    </row>
    <row r="15" ht="30" customHeight="1">
      <c r="A15" s="6" t="inlineStr">
        <is>
          <t>Marketing per month</t>
        </is>
      </c>
      <c r="B15" s="7" t="n">
        <v>400</v>
      </c>
      <c r="C15" s="4" t="inlineStr">
        <is>
          <t>What you spend every month to win work.</t>
        </is>
      </c>
    </row>
    <row r="16" ht="30" customHeight="1">
      <c r="A16" s="6" t="inlineStr">
        <is>
          <t>Other costs per month</t>
        </is>
      </c>
      <c r="B16" s="7" t="n">
        <v>550</v>
      </c>
      <c r="C16" s="4" t="inlineStr">
        <is>
          <t>Everything else that repeats: software, insurance, phone, materials, travel.</t>
        </is>
      </c>
    </row>
    <row r="17" ht="30" customHeight="1">
      <c r="A17" s="6" t="inlineStr">
        <is>
          <t>One-off startup costs (month 1 only)</t>
        </is>
      </c>
      <c r="B17" s="7" t="n">
        <v>4500</v>
      </c>
      <c r="C17" s="4" t="inlineStr">
        <is>
          <t>Spent once at the start: equipment, deposits, set-up fees, initial stock.</t>
        </is>
      </c>
    </row>
    <row r="18">
      <c r="A18" s="5" t="inlineStr">
        <is>
          <t>BENCHMARKS — WHAT GOOD LOOKS LIKE</t>
        </is>
      </c>
    </row>
    <row r="19" ht="30" customHeight="1">
      <c r="A19" s="6" t="inlineStr">
        <is>
          <t>Typical gross margin for your kind of business</t>
        </is>
      </c>
      <c r="B19" s="8" t="n">
        <v>0.65</v>
      </c>
      <c r="C19" s="4" t="inlineStr">
        <is>
          <t>Gross margin here = (revenue − staff who deliver the work) ÷ revenue. Find your sector's typical figure and type it in — the Dashboard shows your gap.</t>
        </is>
      </c>
    </row>
    <row r="20" ht="30" customHeight="1">
      <c r="A20" s="6" t="inlineStr">
        <is>
          <t>Months of cash cover lenders like to see</t>
        </is>
      </c>
      <c r="B20" s="9" t="n">
        <v>12</v>
      </c>
      <c r="C20" s="4" t="inlineStr">
        <is>
          <t>How many months of costs a lender likes to see held in the bank at the plan's lowest point. 12 is a common benchmark.</t>
        </is>
      </c>
    </row>
  </sheetData>
  <mergeCells count="5">
    <mergeCell ref="A10:C10"/>
    <mergeCell ref="A1:C1"/>
    <mergeCell ref="A18:C18"/>
    <mergeCell ref="A4:C4"/>
    <mergeCell ref="A2:C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U58"/>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8" customWidth="1" min="1" max="1"/>
    <col width="11" customWidth="1" min="2" max="2"/>
    <col width="14" customWidth="1" min="3" max="3"/>
    <col width="13" customWidth="1" min="4" max="4"/>
    <col width="12" customWidth="1" min="5" max="5"/>
    <col width="11" customWidth="1" min="6" max="6"/>
    <col width="12" customWidth="1" min="7" max="7"/>
    <col width="12" customWidth="1" min="8" max="8"/>
    <col width="12" customWidth="1" min="9" max="9"/>
    <col width="14" customWidth="1" min="10" max="10"/>
    <col width="14" customWidth="1" min="11" max="11"/>
    <col width="12" customWidth="1" min="12" max="12"/>
    <col width="13" customWidth="1" min="13" max="13"/>
    <col width="15" customWidth="1" min="14" max="14"/>
    <col width="14" customWidth="1" min="15" max="15"/>
    <col width="15" customWidth="1" min="16" max="16"/>
    <col width="16" customWidth="1" min="17" max="17"/>
    <col width="15" customWidth="1" min="18" max="18"/>
    <col width="11" customWidth="1" min="19" max="19"/>
    <col width="11" customWidth="1" min="20" max="20"/>
    <col width="52" customWidth="1" min="21" max="21"/>
  </cols>
  <sheetData>
    <row r="1" ht="26" customHeight="1">
      <c r="A1" s="1" t="inlineStr">
        <is>
          <t>FORECAST — 36 MONTHS, BASE PLAN</t>
        </is>
      </c>
    </row>
    <row r="2" ht="6" customHeight="1">
      <c r="A2" s="2" t="n"/>
    </row>
    <row r="4" ht="45" customHeight="1">
      <c r="A4" s="10" t="inlineStr">
        <is>
          <t>Month</t>
        </is>
      </c>
      <c r="B4" s="10" t="inlineStr">
        <is>
          <t>Label</t>
        </is>
      </c>
      <c r="C4" s="10" t="inlineStr">
        <is>
          <t>Revenue</t>
        </is>
      </c>
      <c r="D4" s="10" t="inlineStr">
        <is>
          <t>Owner drawings</t>
        </is>
      </c>
      <c r="E4" s="10" t="inlineStr">
        <is>
          <t>Staff</t>
        </is>
      </c>
      <c r="F4" s="10" t="inlineStr">
        <is>
          <t>Rent</t>
        </is>
      </c>
      <c r="G4" s="10" t="inlineStr">
        <is>
          <t>Marketing</t>
        </is>
      </c>
      <c r="H4" s="10" t="inlineStr">
        <is>
          <t>Other costs</t>
        </is>
      </c>
      <c r="I4" s="10" t="inlineStr">
        <is>
          <t>One-off costs</t>
        </is>
      </c>
      <c r="J4" s="10" t="inlineStr">
        <is>
          <t>Total costs</t>
        </is>
      </c>
      <c r="K4" s="10" t="inlineStr">
        <is>
          <t>Profit / (loss)</t>
        </is>
      </c>
      <c r="L4" s="10" t="inlineStr">
        <is>
          <t>Funding in</t>
        </is>
      </c>
      <c r="M4" s="10" t="inlineStr">
        <is>
          <t>Net cash flow</t>
        </is>
      </c>
      <c r="N4" s="10" t="inlineStr">
        <is>
          <t>Cumulative cash flow</t>
        </is>
      </c>
      <c r="O4" s="10" t="inlineStr">
        <is>
          <t>Closing cash</t>
        </is>
      </c>
      <c r="P4" s="10" t="inlineStr">
        <is>
          <t>Cumulative profit</t>
        </is>
      </c>
      <c r="Q4" s="10" t="inlineStr">
        <is>
          <t>Closing cash WITHOUT funding</t>
        </is>
      </c>
      <c r="R4" s="10" t="inlineStr">
        <is>
          <t>Helper: profit floor from here</t>
        </is>
      </c>
      <c r="S4" s="10" t="inlineStr">
        <is>
          <t>Helper: break-even flag</t>
        </is>
      </c>
      <c r="T4" s="10" t="inlineStr">
        <is>
          <t>Helper: cash below £0</t>
        </is>
      </c>
      <c r="U4" s="10" t="inlineStr">
        <is>
          <t>Notes — why reality differed (write it, every month)</t>
        </is>
      </c>
    </row>
    <row r="5">
      <c r="A5" t="n">
        <v>1</v>
      </c>
      <c r="B5" t="inlineStr">
        <is>
          <t>Month 1</t>
        </is>
      </c>
      <c r="C5" s="11">
        <f>Inputs!$B$7</f>
        <v>3200</v>
      </c>
      <c r="D5" s="11">
        <f>Inputs!$B$11</f>
        <v>2200</v>
      </c>
      <c r="E5" s="11">
        <f>IF($A5&gt;=Inputs!$B$13,Inputs!$B$12,0)</f>
        <v>0</v>
      </c>
      <c r="F5" s="11">
        <f>Inputs!$B$14</f>
        <v>750</v>
      </c>
      <c r="G5" s="11">
        <f>Inputs!$B$15</f>
        <v>400</v>
      </c>
      <c r="H5" s="11">
        <f>Inputs!$B$16</f>
        <v>550</v>
      </c>
      <c r="I5" s="11">
        <f>IF($A5=1,Inputs!$B$17,0)</f>
        <v>4500</v>
      </c>
      <c r="J5" s="11">
        <f>SUM(D5:I5)</f>
        <v>8400</v>
      </c>
      <c r="K5" s="11">
        <f>C5-J5</f>
        <v>-5200</v>
      </c>
      <c r="L5" s="11">
        <f>IF($A5=1,Inputs!$B$6,0)</f>
        <v>25000</v>
      </c>
      <c r="M5" s="11">
        <f>K5+L5</f>
        <v>19800</v>
      </c>
      <c r="N5" s="11">
        <f>M5</f>
        <v>19800</v>
      </c>
      <c r="O5" s="11">
        <f>Inputs!$B$5+N5</f>
        <v>27800</v>
      </c>
      <c r="P5" s="11">
        <f>K5</f>
        <v>-5200</v>
      </c>
      <c r="Q5" s="11">
        <f>Inputs!$B$5+P5</f>
        <v>2800</v>
      </c>
      <c r="R5" s="6">
        <f>MIN(K5,R6)</f>
        <v>-5200</v>
      </c>
      <c r="S5" s="6">
        <f>IF(AND(K5&gt;=0,R5&gt;=0),1,0)</f>
        <v>0</v>
      </c>
      <c r="T5" s="6">
        <f>IF(O5&lt;0,1,0)</f>
        <v>0</v>
      </c>
    </row>
    <row r="6">
      <c r="A6" t="n">
        <v>2</v>
      </c>
      <c r="B6" t="inlineStr">
        <is>
          <t>Month 2</t>
        </is>
      </c>
      <c r="C6" s="11">
        <f>IF($A6&lt;=12,C5*(1+Inputs!$B$8),C5*(1+Inputs!$B$9))</f>
        <v>3392</v>
      </c>
      <c r="D6" s="11">
        <f>Inputs!$B$11</f>
        <v>2200</v>
      </c>
      <c r="E6" s="11">
        <f>IF($A6&gt;=Inputs!$B$13,Inputs!$B$12,0)</f>
        <v>0</v>
      </c>
      <c r="F6" s="11">
        <f>Inputs!$B$14</f>
        <v>750</v>
      </c>
      <c r="G6" s="11">
        <f>Inputs!$B$15</f>
        <v>400</v>
      </c>
      <c r="H6" s="11">
        <f>Inputs!$B$16</f>
        <v>550</v>
      </c>
      <c r="I6" s="11">
        <f>IF($A6=1,Inputs!$B$17,0)</f>
        <v>0</v>
      </c>
      <c r="J6" s="11">
        <f>SUM(D6:I6)</f>
        <v>3900</v>
      </c>
      <c r="K6" s="11">
        <f>C6-J6</f>
        <v>-508</v>
      </c>
      <c r="L6" s="11">
        <f>IF($A6=1,Inputs!$B$6,0)</f>
        <v>0</v>
      </c>
      <c r="M6" s="11">
        <f>K6+L6</f>
        <v>-508</v>
      </c>
      <c r="N6" s="11">
        <f>N5+M6</f>
        <v>19292</v>
      </c>
      <c r="O6" s="11">
        <f>Inputs!$B$5+N6</f>
        <v>27292</v>
      </c>
      <c r="P6" s="11">
        <f>P5+K6</f>
        <v>-5708</v>
      </c>
      <c r="Q6" s="11">
        <f>Inputs!$B$5+P6</f>
        <v>2292</v>
      </c>
      <c r="R6" s="6">
        <f>MIN(K6,R7)</f>
        <v>-1888.7488</v>
      </c>
      <c r="S6" s="6">
        <f>IF(AND(K6&gt;=0,R6&gt;=0),1,0)</f>
        <v>0</v>
      </c>
      <c r="T6" s="6">
        <f>IF(O6&lt;0,1,0)</f>
        <v>0</v>
      </c>
    </row>
    <row r="7">
      <c r="A7" t="n">
        <v>3</v>
      </c>
      <c r="B7" t="inlineStr">
        <is>
          <t>Month 3</t>
        </is>
      </c>
      <c r="C7" s="11">
        <f>IF($A7&lt;=12,C6*(1+Inputs!$B$8),C6*(1+Inputs!$B$9))</f>
        <v>3595.52</v>
      </c>
      <c r="D7" s="11">
        <f>Inputs!$B$11</f>
        <v>2200</v>
      </c>
      <c r="E7" s="11">
        <f>IF($A7&gt;=Inputs!$B$13,Inputs!$B$12,0)</f>
        <v>0</v>
      </c>
      <c r="F7" s="11">
        <f>Inputs!$B$14</f>
        <v>750</v>
      </c>
      <c r="G7" s="11">
        <f>Inputs!$B$15</f>
        <v>400</v>
      </c>
      <c r="H7" s="11">
        <f>Inputs!$B$16</f>
        <v>550</v>
      </c>
      <c r="I7" s="11">
        <f>IF($A7=1,Inputs!$B$17,0)</f>
        <v>0</v>
      </c>
      <c r="J7" s="11">
        <f>SUM(D7:I7)</f>
        <v>3900</v>
      </c>
      <c r="K7" s="11">
        <f>C7-J7</f>
        <v>-304.48</v>
      </c>
      <c r="L7" s="11">
        <f>IF($A7=1,Inputs!$B$6,0)</f>
        <v>0</v>
      </c>
      <c r="M7" s="11">
        <f>K7+L7</f>
        <v>-304.48</v>
      </c>
      <c r="N7" s="11">
        <f>N6+M7</f>
        <v>18987.52</v>
      </c>
      <c r="O7" s="11">
        <f>Inputs!$B$5+N7</f>
        <v>26987.52</v>
      </c>
      <c r="P7" s="11">
        <f>P6+K7</f>
        <v>-6012.48</v>
      </c>
      <c r="Q7" s="11">
        <f>Inputs!$B$5+P7</f>
        <v>1987.52</v>
      </c>
      <c r="R7" s="6">
        <f>MIN(K7,R8)</f>
        <v>-1888.7488</v>
      </c>
      <c r="S7" s="6">
        <f>IF(AND(K7&gt;=0,R7&gt;=0),1,0)</f>
        <v>0</v>
      </c>
      <c r="T7" s="6">
        <f>IF(O7&lt;0,1,0)</f>
        <v>0</v>
      </c>
    </row>
    <row r="8">
      <c r="A8" t="n">
        <v>4</v>
      </c>
      <c r="B8" t="inlineStr">
        <is>
          <t>Month 4</t>
        </is>
      </c>
      <c r="C8" s="11">
        <f>IF($A8&lt;=12,C7*(1+Inputs!$B$8),C7*(1+Inputs!$B$9))</f>
        <v>3811.2512</v>
      </c>
      <c r="D8" s="11">
        <f>Inputs!$B$11</f>
        <v>2200</v>
      </c>
      <c r="E8" s="11">
        <f>IF($A8&gt;=Inputs!$B$13,Inputs!$B$12,0)</f>
        <v>1800</v>
      </c>
      <c r="F8" s="11">
        <f>Inputs!$B$14</f>
        <v>750</v>
      </c>
      <c r="G8" s="11">
        <f>Inputs!$B$15</f>
        <v>400</v>
      </c>
      <c r="H8" s="11">
        <f>Inputs!$B$16</f>
        <v>550</v>
      </c>
      <c r="I8" s="11">
        <f>IF($A8=1,Inputs!$B$17,0)</f>
        <v>0</v>
      </c>
      <c r="J8" s="11">
        <f>SUM(D8:I8)</f>
        <v>5700</v>
      </c>
      <c r="K8" s="11">
        <f>C8-J8</f>
        <v>-1888.7488</v>
      </c>
      <c r="L8" s="11">
        <f>IF($A8=1,Inputs!$B$6,0)</f>
        <v>0</v>
      </c>
      <c r="M8" s="11">
        <f>K8+L8</f>
        <v>-1888.7488</v>
      </c>
      <c r="N8" s="11">
        <f>N7+M8</f>
        <v>17098.7712</v>
      </c>
      <c r="O8" s="11">
        <f>Inputs!$B$5+N8</f>
        <v>25098.7712</v>
      </c>
      <c r="P8" s="11">
        <f>P7+K8</f>
        <v>-7901.2288</v>
      </c>
      <c r="Q8" s="11">
        <f>Inputs!$B$5+P8</f>
        <v>98.7712</v>
      </c>
      <c r="R8" s="6">
        <f>MIN(K8,R9)</f>
        <v>-1888.7488</v>
      </c>
      <c r="S8" s="6">
        <f>IF(AND(K8&gt;=0,R8&gt;=0),1,0)</f>
        <v>0</v>
      </c>
      <c r="T8" s="6">
        <f>IF(O8&lt;0,1,0)</f>
        <v>0</v>
      </c>
      <c r="U8" s="4" t="inlineStr">
        <is>
          <t>(Example) Staff started this month — costs jumped before the extra revenue arrived. We saw it coming in the forecast, so it was a plan, not a shock.</t>
        </is>
      </c>
    </row>
    <row r="9">
      <c r="A9" t="n">
        <v>5</v>
      </c>
      <c r="B9" t="inlineStr">
        <is>
          <t>Month 5</t>
        </is>
      </c>
      <c r="C9" s="11">
        <f>IF($A9&lt;=12,C8*(1+Inputs!$B$8),C8*(1+Inputs!$B$9))</f>
        <v>4039.926272</v>
      </c>
      <c r="D9" s="11">
        <f>Inputs!$B$11</f>
        <v>2200</v>
      </c>
      <c r="E9" s="11">
        <f>IF($A9&gt;=Inputs!$B$13,Inputs!$B$12,0)</f>
        <v>1800</v>
      </c>
      <c r="F9" s="11">
        <f>Inputs!$B$14</f>
        <v>750</v>
      </c>
      <c r="G9" s="11">
        <f>Inputs!$B$15</f>
        <v>400</v>
      </c>
      <c r="H9" s="11">
        <f>Inputs!$B$16</f>
        <v>550</v>
      </c>
      <c r="I9" s="11">
        <f>IF($A9=1,Inputs!$B$17,0)</f>
        <v>0</v>
      </c>
      <c r="J9" s="11">
        <f>SUM(D9:I9)</f>
        <v>5700</v>
      </c>
      <c r="K9" s="11">
        <f>C9-J9</f>
        <v>-1660.073728</v>
      </c>
      <c r="L9" s="11">
        <f>IF($A9=1,Inputs!$B$6,0)</f>
        <v>0</v>
      </c>
      <c r="M9" s="11">
        <f>K9+L9</f>
        <v>-1660.073728</v>
      </c>
      <c r="N9" s="11">
        <f>N8+M9</f>
        <v>15438.697472</v>
      </c>
      <c r="O9" s="11">
        <f>Inputs!$B$5+N9</f>
        <v>23438.697472</v>
      </c>
      <c r="P9" s="11">
        <f>P8+K9</f>
        <v>-9561.302528</v>
      </c>
      <c r="Q9" s="11">
        <f>Inputs!$B$5+P9</f>
        <v>-1561.302528</v>
      </c>
      <c r="R9" s="6">
        <f>MIN(K9,R10)</f>
        <v>-1660.073728</v>
      </c>
      <c r="S9" s="6">
        <f>IF(AND(K9&gt;=0,R9&gt;=0),1,0)</f>
        <v>0</v>
      </c>
      <c r="T9" s="6">
        <f>IF(O9&lt;0,1,0)</f>
        <v>0</v>
      </c>
    </row>
    <row r="10">
      <c r="A10" t="n">
        <v>6</v>
      </c>
      <c r="B10" t="inlineStr">
        <is>
          <t>Month 6</t>
        </is>
      </c>
      <c r="C10" s="11">
        <f>IF($A10&lt;=12,C9*(1+Inputs!$B$8),C9*(1+Inputs!$B$9))</f>
        <v>4282.32184832</v>
      </c>
      <c r="D10" s="11">
        <f>Inputs!$B$11</f>
        <v>2200</v>
      </c>
      <c r="E10" s="11">
        <f>IF($A10&gt;=Inputs!$B$13,Inputs!$B$12,0)</f>
        <v>1800</v>
      </c>
      <c r="F10" s="11">
        <f>Inputs!$B$14</f>
        <v>750</v>
      </c>
      <c r="G10" s="11">
        <f>Inputs!$B$15</f>
        <v>400</v>
      </c>
      <c r="H10" s="11">
        <f>Inputs!$B$16</f>
        <v>550</v>
      </c>
      <c r="I10" s="11">
        <f>IF($A10=1,Inputs!$B$17,0)</f>
        <v>0</v>
      </c>
      <c r="J10" s="11">
        <f>SUM(D10:I10)</f>
        <v>5700</v>
      </c>
      <c r="K10" s="11">
        <f>C10-J10</f>
        <v>-1417.67815168</v>
      </c>
      <c r="L10" s="11">
        <f>IF($A10=1,Inputs!$B$6,0)</f>
        <v>0</v>
      </c>
      <c r="M10" s="11">
        <f>K10+L10</f>
        <v>-1417.67815168</v>
      </c>
      <c r="N10" s="11">
        <f>N9+M10</f>
        <v>14021.01932032</v>
      </c>
      <c r="O10" s="11">
        <f>Inputs!$B$5+N10</f>
        <v>22021.01932032</v>
      </c>
      <c r="P10" s="11">
        <f>P9+K10</f>
        <v>-10978.98067968</v>
      </c>
      <c r="Q10" s="11">
        <f>Inputs!$B$5+P10</f>
        <v>-2978.98067968</v>
      </c>
      <c r="R10" s="6">
        <f>MIN(K10,R11)</f>
        <v>-1417.67815168</v>
      </c>
      <c r="S10" s="6">
        <f>IF(AND(K10&gt;=0,R10&gt;=0),1,0)</f>
        <v>0</v>
      </c>
      <c r="T10" s="6">
        <f>IF(O10&lt;0,1,0)</f>
        <v>0</v>
      </c>
    </row>
    <row r="11">
      <c r="A11" t="n">
        <v>7</v>
      </c>
      <c r="B11" t="inlineStr">
        <is>
          <t>Month 7</t>
        </is>
      </c>
      <c r="C11" s="11">
        <f>IF($A11&lt;=12,C10*(1+Inputs!$B$8),C10*(1+Inputs!$B$9))</f>
        <v>4539.2611592192</v>
      </c>
      <c r="D11" s="11">
        <f>Inputs!$B$11</f>
        <v>2200</v>
      </c>
      <c r="E11" s="11">
        <f>IF($A11&gt;=Inputs!$B$13,Inputs!$B$12,0)</f>
        <v>1800</v>
      </c>
      <c r="F11" s="11">
        <f>Inputs!$B$14</f>
        <v>750</v>
      </c>
      <c r="G11" s="11">
        <f>Inputs!$B$15</f>
        <v>400</v>
      </c>
      <c r="H11" s="11">
        <f>Inputs!$B$16</f>
        <v>550</v>
      </c>
      <c r="I11" s="11">
        <f>IF($A11=1,Inputs!$B$17,0)</f>
        <v>0</v>
      </c>
      <c r="J11" s="11">
        <f>SUM(D11:I11)</f>
        <v>5700</v>
      </c>
      <c r="K11" s="11">
        <f>C11-J11</f>
        <v>-1160.7388407808</v>
      </c>
      <c r="L11" s="11">
        <f>IF($A11=1,Inputs!$B$6,0)</f>
        <v>0</v>
      </c>
      <c r="M11" s="11">
        <f>K11+L11</f>
        <v>-1160.7388407808</v>
      </c>
      <c r="N11" s="11">
        <f>N10+M11</f>
        <v>12860.2804795392</v>
      </c>
      <c r="O11" s="11">
        <f>Inputs!$B$5+N11</f>
        <v>20860.2804795392</v>
      </c>
      <c r="P11" s="11">
        <f>P10+K11</f>
        <v>-12139.7195204608</v>
      </c>
      <c r="Q11" s="11">
        <f>Inputs!$B$5+P11</f>
        <v>-4139.7195204608</v>
      </c>
      <c r="R11" s="6">
        <f>MIN(K11,R12)</f>
        <v>-1160.7388407808</v>
      </c>
      <c r="S11" s="6">
        <f>IF(AND(K11&gt;=0,R11&gt;=0),1,0)</f>
        <v>0</v>
      </c>
      <c r="T11" s="6">
        <f>IF(O11&lt;0,1,0)</f>
        <v>0</v>
      </c>
    </row>
    <row r="12">
      <c r="A12" t="n">
        <v>8</v>
      </c>
      <c r="B12" t="inlineStr">
        <is>
          <t>Month 8</t>
        </is>
      </c>
      <c r="C12" s="11">
        <f>IF($A12&lt;=12,C11*(1+Inputs!$B$8),C11*(1+Inputs!$B$9))</f>
        <v>4811.6168287724</v>
      </c>
      <c r="D12" s="11">
        <f>Inputs!$B$11</f>
        <v>2200</v>
      </c>
      <c r="E12" s="11">
        <f>IF($A12&gt;=Inputs!$B$13,Inputs!$B$12,0)</f>
        <v>1800</v>
      </c>
      <c r="F12" s="11">
        <f>Inputs!$B$14</f>
        <v>750</v>
      </c>
      <c r="G12" s="11">
        <f>Inputs!$B$15</f>
        <v>400</v>
      </c>
      <c r="H12" s="11">
        <f>Inputs!$B$16</f>
        <v>550</v>
      </c>
      <c r="I12" s="11">
        <f>IF($A12=1,Inputs!$B$17,0)</f>
        <v>0</v>
      </c>
      <c r="J12" s="11">
        <f>SUM(D12:I12)</f>
        <v>5700</v>
      </c>
      <c r="K12" s="11">
        <f>C12-J12</f>
        <v>-888.3831712276</v>
      </c>
      <c r="L12" s="11">
        <f>IF($A12=1,Inputs!$B$6,0)</f>
        <v>0</v>
      </c>
      <c r="M12" s="11">
        <f>K12+L12</f>
        <v>-888.3831712276</v>
      </c>
      <c r="N12" s="11">
        <f>N11+M12</f>
        <v>11971.8973083116</v>
      </c>
      <c r="O12" s="11">
        <f>Inputs!$B$5+N12</f>
        <v>19971.8973083116</v>
      </c>
      <c r="P12" s="11">
        <f>P11+K12</f>
        <v>-13028.1026916884</v>
      </c>
      <c r="Q12" s="11">
        <f>Inputs!$B$5+P12</f>
        <v>-5028.1026916884</v>
      </c>
      <c r="R12" s="6">
        <f>MIN(K12,R13)</f>
        <v>-888.3831712276</v>
      </c>
      <c r="S12" s="6">
        <f>IF(AND(K12&gt;=0,R12&gt;=0),1,0)</f>
        <v>0</v>
      </c>
      <c r="T12" s="6">
        <f>IF(O12&lt;0,1,0)</f>
        <v>0</v>
      </c>
    </row>
    <row r="13">
      <c r="A13" t="n">
        <v>9</v>
      </c>
      <c r="B13" t="inlineStr">
        <is>
          <t>Month 9</t>
        </is>
      </c>
      <c r="C13" s="11">
        <f>IF($A13&lt;=12,C12*(1+Inputs!$B$8),C12*(1+Inputs!$B$9))</f>
        <v>5100.3138384987</v>
      </c>
      <c r="D13" s="11">
        <f>Inputs!$B$11</f>
        <v>2200</v>
      </c>
      <c r="E13" s="11">
        <f>IF($A13&gt;=Inputs!$B$13,Inputs!$B$12,0)</f>
        <v>1800</v>
      </c>
      <c r="F13" s="11">
        <f>Inputs!$B$14</f>
        <v>750</v>
      </c>
      <c r="G13" s="11">
        <f>Inputs!$B$15</f>
        <v>400</v>
      </c>
      <c r="H13" s="11">
        <f>Inputs!$B$16</f>
        <v>550</v>
      </c>
      <c r="I13" s="11">
        <f>IF($A13=1,Inputs!$B$17,0)</f>
        <v>0</v>
      </c>
      <c r="J13" s="11">
        <f>SUM(D13:I13)</f>
        <v>5700</v>
      </c>
      <c r="K13" s="11">
        <f>C13-J13</f>
        <v>-599.6861615013</v>
      </c>
      <c r="L13" s="11">
        <f>IF($A13=1,Inputs!$B$6,0)</f>
        <v>0</v>
      </c>
      <c r="M13" s="11">
        <f>K13+L13</f>
        <v>-599.6861615013</v>
      </c>
      <c r="N13" s="11">
        <f>N12+M13</f>
        <v>11372.2111468102</v>
      </c>
      <c r="O13" s="11">
        <f>Inputs!$B$5+N13</f>
        <v>19372.2111468102</v>
      </c>
      <c r="P13" s="11">
        <f>P12+K13</f>
        <v>-13627.7888531897</v>
      </c>
      <c r="Q13" s="11">
        <f>Inputs!$B$5+P13</f>
        <v>-5627.7888531897</v>
      </c>
      <c r="R13" s="6">
        <f>MIN(K13,R14)</f>
        <v>-599.6861615013</v>
      </c>
      <c r="S13" s="6">
        <f>IF(AND(K13&gt;=0,R13&gt;=0),1,0)</f>
        <v>0</v>
      </c>
      <c r="T13" s="6">
        <f>IF(O13&lt;0,1,0)</f>
        <v>0</v>
      </c>
    </row>
    <row r="14">
      <c r="A14" t="n">
        <v>10</v>
      </c>
      <c r="B14" t="inlineStr">
        <is>
          <t>Month 10</t>
        </is>
      </c>
      <c r="C14" s="11">
        <f>IF($A14&lt;=12,C13*(1+Inputs!$B$8),C13*(1+Inputs!$B$9))</f>
        <v>5406.3326688086</v>
      </c>
      <c r="D14" s="11">
        <f>Inputs!$B$11</f>
        <v>2200</v>
      </c>
      <c r="E14" s="11">
        <f>IF($A14&gt;=Inputs!$B$13,Inputs!$B$12,0)</f>
        <v>1800</v>
      </c>
      <c r="F14" s="11">
        <f>Inputs!$B$14</f>
        <v>750</v>
      </c>
      <c r="G14" s="11">
        <f>Inputs!$B$15</f>
        <v>400</v>
      </c>
      <c r="H14" s="11">
        <f>Inputs!$B$16</f>
        <v>550</v>
      </c>
      <c r="I14" s="11">
        <f>IF($A14=1,Inputs!$B$17,0)</f>
        <v>0</v>
      </c>
      <c r="J14" s="11">
        <f>SUM(D14:I14)</f>
        <v>5700</v>
      </c>
      <c r="K14" s="11">
        <f>C14-J14</f>
        <v>-293.6673311914</v>
      </c>
      <c r="L14" s="11">
        <f>IF($A14=1,Inputs!$B$6,0)</f>
        <v>0</v>
      </c>
      <c r="M14" s="11">
        <f>K14+L14</f>
        <v>-293.6673311914</v>
      </c>
      <c r="N14" s="11">
        <f>N13+M14</f>
        <v>11078.5438156189</v>
      </c>
      <c r="O14" s="11">
        <f>Inputs!$B$5+N14</f>
        <v>19078.5438156189</v>
      </c>
      <c r="P14" s="11">
        <f>P13+K14</f>
        <v>-13921.4561843811</v>
      </c>
      <c r="Q14" s="11">
        <f>Inputs!$B$5+P14</f>
        <v>-5921.4561843811</v>
      </c>
      <c r="R14" s="6">
        <f>MIN(K14,R15)</f>
        <v>-293.6673311914</v>
      </c>
      <c r="S14" s="6">
        <f>IF(AND(K14&gt;=0,R14&gt;=0),1,0)</f>
        <v>0</v>
      </c>
      <c r="T14" s="6">
        <f>IF(O14&lt;0,1,0)</f>
        <v>0</v>
      </c>
    </row>
    <row r="15">
      <c r="A15" t="n">
        <v>11</v>
      </c>
      <c r="B15" t="inlineStr">
        <is>
          <t>Month 11</t>
        </is>
      </c>
      <c r="C15" s="11">
        <f>IF($A15&lt;=12,C14*(1+Inputs!$B$8),C14*(1+Inputs!$B$9))</f>
        <v>5730.7126289371</v>
      </c>
      <c r="D15" s="11">
        <f>Inputs!$B$11</f>
        <v>2200</v>
      </c>
      <c r="E15" s="11">
        <f>IF($A15&gt;=Inputs!$B$13,Inputs!$B$12,0)</f>
        <v>1800</v>
      </c>
      <c r="F15" s="11">
        <f>Inputs!$B$14</f>
        <v>750</v>
      </c>
      <c r="G15" s="11">
        <f>Inputs!$B$15</f>
        <v>400</v>
      </c>
      <c r="H15" s="11">
        <f>Inputs!$B$16</f>
        <v>550</v>
      </c>
      <c r="I15" s="11">
        <f>IF($A15=1,Inputs!$B$17,0)</f>
        <v>0</v>
      </c>
      <c r="J15" s="11">
        <f>SUM(D15:I15)</f>
        <v>5700</v>
      </c>
      <c r="K15" s="11">
        <f>C15-J15</f>
        <v>30.7126289371</v>
      </c>
      <c r="L15" s="11">
        <f>IF($A15=1,Inputs!$B$6,0)</f>
        <v>0</v>
      </c>
      <c r="M15" s="11">
        <f>K15+L15</f>
        <v>30.7126289371</v>
      </c>
      <c r="N15" s="11">
        <f>N14+M15</f>
        <v>11109.256444556</v>
      </c>
      <c r="O15" s="11">
        <f>Inputs!$B$5+N15</f>
        <v>19109.256444556</v>
      </c>
      <c r="P15" s="11">
        <f>P14+K15</f>
        <v>-13890.743555444</v>
      </c>
      <c r="Q15" s="11">
        <f>Inputs!$B$5+P15</f>
        <v>-5890.743555444</v>
      </c>
      <c r="R15" s="6">
        <f>MIN(K15,R16)</f>
        <v>30.7126289371</v>
      </c>
      <c r="S15" s="6">
        <f>IF(AND(K15&gt;=0,R15&gt;=0),1,0)</f>
        <v>1</v>
      </c>
      <c r="T15" s="6">
        <f>IF(O15&lt;0,1,0)</f>
        <v>0</v>
      </c>
    </row>
    <row r="16">
      <c r="A16" t="n">
        <v>12</v>
      </c>
      <c r="B16" t="inlineStr">
        <is>
          <t>Month 12</t>
        </is>
      </c>
      <c r="C16" s="11">
        <f>IF($A16&lt;=12,C15*(1+Inputs!$B$8),C15*(1+Inputs!$B$9))</f>
        <v>6074.5553866734</v>
      </c>
      <c r="D16" s="11">
        <f>Inputs!$B$11</f>
        <v>2200</v>
      </c>
      <c r="E16" s="11">
        <f>IF($A16&gt;=Inputs!$B$13,Inputs!$B$12,0)</f>
        <v>1800</v>
      </c>
      <c r="F16" s="11">
        <f>Inputs!$B$14</f>
        <v>750</v>
      </c>
      <c r="G16" s="11">
        <f>Inputs!$B$15</f>
        <v>400</v>
      </c>
      <c r="H16" s="11">
        <f>Inputs!$B$16</f>
        <v>550</v>
      </c>
      <c r="I16" s="11">
        <f>IF($A16=1,Inputs!$B$17,0)</f>
        <v>0</v>
      </c>
      <c r="J16" s="11">
        <f>SUM(D16:I16)</f>
        <v>5700</v>
      </c>
      <c r="K16" s="11">
        <f>C16-J16</f>
        <v>374.5553866734</v>
      </c>
      <c r="L16" s="11">
        <f>IF($A16=1,Inputs!$B$6,0)</f>
        <v>0</v>
      </c>
      <c r="M16" s="11">
        <f>K16+L16</f>
        <v>374.5553866734</v>
      </c>
      <c r="N16" s="11">
        <f>N15+M16</f>
        <v>11483.8118312294</v>
      </c>
      <c r="O16" s="11">
        <f>Inputs!$B$5+N16</f>
        <v>19483.8118312294</v>
      </c>
      <c r="P16" s="11">
        <f>P15+K16</f>
        <v>-13516.1881687706</v>
      </c>
      <c r="Q16" s="11">
        <f>Inputs!$B$5+P16</f>
        <v>-5516.1881687706</v>
      </c>
      <c r="R16" s="6">
        <f>MIN(K16,R17)</f>
        <v>374.5553866734</v>
      </c>
      <c r="S16" s="6">
        <f>IF(AND(K16&gt;=0,R16&gt;=0),1,0)</f>
        <v>1</v>
      </c>
      <c r="T16" s="6">
        <f>IF(O16&lt;0,1,0)</f>
        <v>0</v>
      </c>
    </row>
    <row r="17">
      <c r="A17" t="n">
        <v>13</v>
      </c>
      <c r="B17" t="inlineStr">
        <is>
          <t>Month 13</t>
        </is>
      </c>
      <c r="C17" s="11">
        <f>IF($A17&lt;=12,C16*(1+Inputs!$B$8),C16*(1+Inputs!$B$9))</f>
        <v>6256.7920482736</v>
      </c>
      <c r="D17" s="11">
        <f>Inputs!$B$11</f>
        <v>2200</v>
      </c>
      <c r="E17" s="11">
        <f>IF($A17&gt;=Inputs!$B$13,Inputs!$B$12,0)</f>
        <v>1800</v>
      </c>
      <c r="F17" s="11">
        <f>Inputs!$B$14</f>
        <v>750</v>
      </c>
      <c r="G17" s="11">
        <f>Inputs!$B$15</f>
        <v>400</v>
      </c>
      <c r="H17" s="11">
        <f>Inputs!$B$16</f>
        <v>550</v>
      </c>
      <c r="I17" s="11">
        <f>IF($A17=1,Inputs!$B$17,0)</f>
        <v>0</v>
      </c>
      <c r="J17" s="11">
        <f>SUM(D17:I17)</f>
        <v>5700</v>
      </c>
      <c r="K17" s="11">
        <f>C17-J17</f>
        <v>556.7920482736</v>
      </c>
      <c r="L17" s="11">
        <f>IF($A17=1,Inputs!$B$6,0)</f>
        <v>0</v>
      </c>
      <c r="M17" s="11">
        <f>K17+L17</f>
        <v>556.7920482736</v>
      </c>
      <c r="N17" s="11">
        <f>N16+M17</f>
        <v>12040.6038795029</v>
      </c>
      <c r="O17" s="11">
        <f>Inputs!$B$5+N17</f>
        <v>20040.6038795029</v>
      </c>
      <c r="P17" s="11">
        <f>P16+K17</f>
        <v>-12959.3961204971</v>
      </c>
      <c r="Q17" s="11">
        <f>Inputs!$B$5+P17</f>
        <v>-4959.3961204971</v>
      </c>
      <c r="R17" s="6">
        <f>MIN(K17,R18)</f>
        <v>556.7920482736</v>
      </c>
      <c r="S17" s="6">
        <f>IF(AND(K17&gt;=0,R17&gt;=0),1,0)</f>
        <v>1</v>
      </c>
      <c r="T17" s="6">
        <f>IF(O17&lt;0,1,0)</f>
        <v>0</v>
      </c>
    </row>
    <row r="18">
      <c r="A18" t="n">
        <v>14</v>
      </c>
      <c r="B18" t="inlineStr">
        <is>
          <t>Month 14</t>
        </is>
      </c>
      <c r="C18" s="11">
        <f>IF($A18&lt;=12,C17*(1+Inputs!$B$8),C17*(1+Inputs!$B$9))</f>
        <v>6444.4958097218</v>
      </c>
      <c r="D18" s="11">
        <f>Inputs!$B$11</f>
        <v>2200</v>
      </c>
      <c r="E18" s="11">
        <f>IF($A18&gt;=Inputs!$B$13,Inputs!$B$12,0)</f>
        <v>1800</v>
      </c>
      <c r="F18" s="11">
        <f>Inputs!$B$14</f>
        <v>750</v>
      </c>
      <c r="G18" s="11">
        <f>Inputs!$B$15</f>
        <v>400</v>
      </c>
      <c r="H18" s="11">
        <f>Inputs!$B$16</f>
        <v>550</v>
      </c>
      <c r="I18" s="11">
        <f>IF($A18=1,Inputs!$B$17,0)</f>
        <v>0</v>
      </c>
      <c r="J18" s="11">
        <f>SUM(D18:I18)</f>
        <v>5700</v>
      </c>
      <c r="K18" s="11">
        <f>C18-J18</f>
        <v>744.4958097218</v>
      </c>
      <c r="L18" s="11">
        <f>IF($A18=1,Inputs!$B$6,0)</f>
        <v>0</v>
      </c>
      <c r="M18" s="11">
        <f>K18+L18</f>
        <v>744.4958097218</v>
      </c>
      <c r="N18" s="11">
        <f>N17+M18</f>
        <v>12785.0996892247</v>
      </c>
      <c r="O18" s="11">
        <f>Inputs!$B$5+N18</f>
        <v>20785.0996892247</v>
      </c>
      <c r="P18" s="11">
        <f>P17+K18</f>
        <v>-12214.9003107753</v>
      </c>
      <c r="Q18" s="11">
        <f>Inputs!$B$5+P18</f>
        <v>-4214.9003107753</v>
      </c>
      <c r="R18" s="6">
        <f>MIN(K18,R19)</f>
        <v>744.4958097218</v>
      </c>
      <c r="S18" s="6">
        <f>IF(AND(K18&gt;=0,R18&gt;=0),1,0)</f>
        <v>1</v>
      </c>
      <c r="T18" s="6">
        <f>IF(O18&lt;0,1,0)</f>
        <v>0</v>
      </c>
    </row>
    <row r="19">
      <c r="A19" t="n">
        <v>15</v>
      </c>
      <c r="B19" t="inlineStr">
        <is>
          <t>Month 15</t>
        </is>
      </c>
      <c r="C19" s="11">
        <f>IF($A19&lt;=12,C18*(1+Inputs!$B$8),C18*(1+Inputs!$B$9))</f>
        <v>6637.8306840134</v>
      </c>
      <c r="D19" s="11">
        <f>Inputs!$B$11</f>
        <v>2200</v>
      </c>
      <c r="E19" s="11">
        <f>IF($A19&gt;=Inputs!$B$13,Inputs!$B$12,0)</f>
        <v>1800</v>
      </c>
      <c r="F19" s="11">
        <f>Inputs!$B$14</f>
        <v>750</v>
      </c>
      <c r="G19" s="11">
        <f>Inputs!$B$15</f>
        <v>400</v>
      </c>
      <c r="H19" s="11">
        <f>Inputs!$B$16</f>
        <v>550</v>
      </c>
      <c r="I19" s="11">
        <f>IF($A19=1,Inputs!$B$17,0)</f>
        <v>0</v>
      </c>
      <c r="J19" s="11">
        <f>SUM(D19:I19)</f>
        <v>5700</v>
      </c>
      <c r="K19" s="11">
        <f>C19-J19</f>
        <v>937.8306840134</v>
      </c>
      <c r="L19" s="11">
        <f>IF($A19=1,Inputs!$B$6,0)</f>
        <v>0</v>
      </c>
      <c r="M19" s="11">
        <f>K19+L19</f>
        <v>937.8306840134</v>
      </c>
      <c r="N19" s="11">
        <f>N18+M19</f>
        <v>13722.9303732381</v>
      </c>
      <c r="O19" s="11">
        <f>Inputs!$B$5+N19</f>
        <v>21722.9303732381</v>
      </c>
      <c r="P19" s="11">
        <f>P18+K19</f>
        <v>-11277.0696267619</v>
      </c>
      <c r="Q19" s="11">
        <f>Inputs!$B$5+P19</f>
        <v>-3277.0696267619</v>
      </c>
      <c r="R19" s="6">
        <f>MIN(K19,R20)</f>
        <v>937.8306840134</v>
      </c>
      <c r="S19" s="6">
        <f>IF(AND(K19&gt;=0,R19&gt;=0),1,0)</f>
        <v>1</v>
      </c>
      <c r="T19" s="6">
        <f>IF(O19&lt;0,1,0)</f>
        <v>0</v>
      </c>
    </row>
    <row r="20">
      <c r="A20" t="n">
        <v>16</v>
      </c>
      <c r="B20" t="inlineStr">
        <is>
          <t>Month 16</t>
        </is>
      </c>
      <c r="C20" s="11">
        <f>IF($A20&lt;=12,C19*(1+Inputs!$B$8),C19*(1+Inputs!$B$9))</f>
        <v>6836.9656045338</v>
      </c>
      <c r="D20" s="11">
        <f>Inputs!$B$11</f>
        <v>2200</v>
      </c>
      <c r="E20" s="11">
        <f>IF($A20&gt;=Inputs!$B$13,Inputs!$B$12,0)</f>
        <v>1800</v>
      </c>
      <c r="F20" s="11">
        <f>Inputs!$B$14</f>
        <v>750</v>
      </c>
      <c r="G20" s="11">
        <f>Inputs!$B$15</f>
        <v>400</v>
      </c>
      <c r="H20" s="11">
        <f>Inputs!$B$16</f>
        <v>550</v>
      </c>
      <c r="I20" s="11">
        <f>IF($A20=1,Inputs!$B$17,0)</f>
        <v>0</v>
      </c>
      <c r="J20" s="11">
        <f>SUM(D20:I20)</f>
        <v>5700</v>
      </c>
      <c r="K20" s="11">
        <f>C20-J20</f>
        <v>1136.9656045338</v>
      </c>
      <c r="L20" s="11">
        <f>IF($A20=1,Inputs!$B$6,0)</f>
        <v>0</v>
      </c>
      <c r="M20" s="11">
        <f>K20+L20</f>
        <v>1136.9656045338</v>
      </c>
      <c r="N20" s="11">
        <f>N19+M20</f>
        <v>14859.8959777719</v>
      </c>
      <c r="O20" s="11">
        <f>Inputs!$B$5+N20</f>
        <v>22859.8959777719</v>
      </c>
      <c r="P20" s="11">
        <f>P19+K20</f>
        <v>-10140.1040222281</v>
      </c>
      <c r="Q20" s="11">
        <f>Inputs!$B$5+P20</f>
        <v>-2140.1040222281</v>
      </c>
      <c r="R20" s="6">
        <f>MIN(K20,R21)</f>
        <v>1136.9656045338</v>
      </c>
      <c r="S20" s="6">
        <f>IF(AND(K20&gt;=0,R20&gt;=0),1,0)</f>
        <v>1</v>
      </c>
      <c r="T20" s="6">
        <f>IF(O20&lt;0,1,0)</f>
        <v>0</v>
      </c>
    </row>
    <row r="21">
      <c r="A21" t="n">
        <v>17</v>
      </c>
      <c r="B21" t="inlineStr">
        <is>
          <t>Month 17</t>
        </is>
      </c>
      <c r="C21" s="11">
        <f>IF($A21&lt;=12,C20*(1+Inputs!$B$8),C20*(1+Inputs!$B$9))</f>
        <v>7042.0745726698</v>
      </c>
      <c r="D21" s="11">
        <f>Inputs!$B$11</f>
        <v>2200</v>
      </c>
      <c r="E21" s="11">
        <f>IF($A21&gt;=Inputs!$B$13,Inputs!$B$12,0)</f>
        <v>1800</v>
      </c>
      <c r="F21" s="11">
        <f>Inputs!$B$14</f>
        <v>750</v>
      </c>
      <c r="G21" s="11">
        <f>Inputs!$B$15</f>
        <v>400</v>
      </c>
      <c r="H21" s="11">
        <f>Inputs!$B$16</f>
        <v>550</v>
      </c>
      <c r="I21" s="11">
        <f>IF($A21=1,Inputs!$B$17,0)</f>
        <v>0</v>
      </c>
      <c r="J21" s="11">
        <f>SUM(D21:I21)</f>
        <v>5700</v>
      </c>
      <c r="K21" s="11">
        <f>C21-J21</f>
        <v>1342.0745726698</v>
      </c>
      <c r="L21" s="11">
        <f>IF($A21=1,Inputs!$B$6,0)</f>
        <v>0</v>
      </c>
      <c r="M21" s="11">
        <f>K21+L21</f>
        <v>1342.0745726698</v>
      </c>
      <c r="N21" s="11">
        <f>N20+M21</f>
        <v>16201.9705504418</v>
      </c>
      <c r="O21" s="11">
        <f>Inputs!$B$5+N21</f>
        <v>24201.9705504418</v>
      </c>
      <c r="P21" s="11">
        <f>P20+K21</f>
        <v>-8798.0294495582</v>
      </c>
      <c r="Q21" s="11">
        <f>Inputs!$B$5+P21</f>
        <v>-798.0294495582</v>
      </c>
      <c r="R21" s="6">
        <f>MIN(K21,R22)</f>
        <v>1342.0745726698</v>
      </c>
      <c r="S21" s="6">
        <f>IF(AND(K21&gt;=0,R21&gt;=0),1,0)</f>
        <v>1</v>
      </c>
      <c r="T21" s="6">
        <f>IF(O21&lt;0,1,0)</f>
        <v>0</v>
      </c>
    </row>
    <row r="22">
      <c r="A22" t="n">
        <v>18</v>
      </c>
      <c r="B22" t="inlineStr">
        <is>
          <t>Month 18</t>
        </is>
      </c>
      <c r="C22" s="11">
        <f>IF($A22&lt;=12,C21*(1+Inputs!$B$8),C21*(1+Inputs!$B$9))</f>
        <v>7253.3368098499</v>
      </c>
      <c r="D22" s="11">
        <f>Inputs!$B$11</f>
        <v>2200</v>
      </c>
      <c r="E22" s="11">
        <f>IF($A22&gt;=Inputs!$B$13,Inputs!$B$12,0)</f>
        <v>1800</v>
      </c>
      <c r="F22" s="11">
        <f>Inputs!$B$14</f>
        <v>750</v>
      </c>
      <c r="G22" s="11">
        <f>Inputs!$B$15</f>
        <v>400</v>
      </c>
      <c r="H22" s="11">
        <f>Inputs!$B$16</f>
        <v>550</v>
      </c>
      <c r="I22" s="11">
        <f>IF($A22=1,Inputs!$B$17,0)</f>
        <v>0</v>
      </c>
      <c r="J22" s="11">
        <f>SUM(D22:I22)</f>
        <v>5700</v>
      </c>
      <c r="K22" s="11">
        <f>C22-J22</f>
        <v>1553.3368098499</v>
      </c>
      <c r="L22" s="11">
        <f>IF($A22=1,Inputs!$B$6,0)</f>
        <v>0</v>
      </c>
      <c r="M22" s="11">
        <f>K22+L22</f>
        <v>1553.3368098499</v>
      </c>
      <c r="N22" s="11">
        <f>N21+M22</f>
        <v>17755.3073602917</v>
      </c>
      <c r="O22" s="11">
        <f>Inputs!$B$5+N22</f>
        <v>25755.3073602917</v>
      </c>
      <c r="P22" s="11">
        <f>P21+K22</f>
        <v>-7244.6926397083</v>
      </c>
      <c r="Q22" s="11">
        <f>Inputs!$B$5+P22</f>
        <v>755.3073602917</v>
      </c>
      <c r="R22" s="6">
        <f>MIN(K22,R23)</f>
        <v>1553.3368098499</v>
      </c>
      <c r="S22" s="6">
        <f>IF(AND(K22&gt;=0,R22&gt;=0),1,0)</f>
        <v>1</v>
      </c>
      <c r="T22" s="6">
        <f>IF(O22&lt;0,1,0)</f>
        <v>0</v>
      </c>
    </row>
    <row r="23">
      <c r="A23" t="n">
        <v>19</v>
      </c>
      <c r="B23" t="inlineStr">
        <is>
          <t>Month 19</t>
        </is>
      </c>
      <c r="C23" s="11">
        <f>IF($A23&lt;=12,C22*(1+Inputs!$B$8),C22*(1+Inputs!$B$9))</f>
        <v>7470.9369141454</v>
      </c>
      <c r="D23" s="11">
        <f>Inputs!$B$11</f>
        <v>2200</v>
      </c>
      <c r="E23" s="11">
        <f>IF($A23&gt;=Inputs!$B$13,Inputs!$B$12,0)</f>
        <v>1800</v>
      </c>
      <c r="F23" s="11">
        <f>Inputs!$B$14</f>
        <v>750</v>
      </c>
      <c r="G23" s="11">
        <f>Inputs!$B$15</f>
        <v>400</v>
      </c>
      <c r="H23" s="11">
        <f>Inputs!$B$16</f>
        <v>550</v>
      </c>
      <c r="I23" s="11">
        <f>IF($A23=1,Inputs!$B$17,0)</f>
        <v>0</v>
      </c>
      <c r="J23" s="11">
        <f>SUM(D23:I23)</f>
        <v>5700</v>
      </c>
      <c r="K23" s="11">
        <f>C23-J23</f>
        <v>1770.9369141454</v>
      </c>
      <c r="L23" s="11">
        <f>IF($A23=1,Inputs!$B$6,0)</f>
        <v>0</v>
      </c>
      <c r="M23" s="11">
        <f>K23+L23</f>
        <v>1770.9369141454</v>
      </c>
      <c r="N23" s="11">
        <f>N22+M23</f>
        <v>19526.2442744372</v>
      </c>
      <c r="O23" s="11">
        <f>Inputs!$B$5+N23</f>
        <v>27526.2442744372</v>
      </c>
      <c r="P23" s="11">
        <f>P22+K23</f>
        <v>-5473.7557255628</v>
      </c>
      <c r="Q23" s="11">
        <f>Inputs!$B$5+P23</f>
        <v>2526.2442744372</v>
      </c>
      <c r="R23" s="6">
        <f>MIN(K23,R24)</f>
        <v>1770.9369141454</v>
      </c>
      <c r="S23" s="6">
        <f>IF(AND(K23&gt;=0,R23&gt;=0),1,0)</f>
        <v>1</v>
      </c>
      <c r="T23" s="6">
        <f>IF(O23&lt;0,1,0)</f>
        <v>0</v>
      </c>
    </row>
    <row r="24">
      <c r="A24" t="n">
        <v>20</v>
      </c>
      <c r="B24" t="inlineStr">
        <is>
          <t>Month 20</t>
        </is>
      </c>
      <c r="C24" s="11">
        <f>IF($A24&lt;=12,C23*(1+Inputs!$B$8),C23*(1+Inputs!$B$9))</f>
        <v>7695.0650215698</v>
      </c>
      <c r="D24" s="11">
        <f>Inputs!$B$11</f>
        <v>2200</v>
      </c>
      <c r="E24" s="11">
        <f>IF($A24&gt;=Inputs!$B$13,Inputs!$B$12,0)</f>
        <v>1800</v>
      </c>
      <c r="F24" s="11">
        <f>Inputs!$B$14</f>
        <v>750</v>
      </c>
      <c r="G24" s="11">
        <f>Inputs!$B$15</f>
        <v>400</v>
      </c>
      <c r="H24" s="11">
        <f>Inputs!$B$16</f>
        <v>550</v>
      </c>
      <c r="I24" s="11">
        <f>IF($A24=1,Inputs!$B$17,0)</f>
        <v>0</v>
      </c>
      <c r="J24" s="11">
        <f>SUM(D24:I24)</f>
        <v>5700</v>
      </c>
      <c r="K24" s="11">
        <f>C24-J24</f>
        <v>1995.0650215698</v>
      </c>
      <c r="L24" s="11">
        <f>IF($A24=1,Inputs!$B$6,0)</f>
        <v>0</v>
      </c>
      <c r="M24" s="11">
        <f>K24+L24</f>
        <v>1995.0650215698</v>
      </c>
      <c r="N24" s="11">
        <f>N23+M24</f>
        <v>21521.3092960069</v>
      </c>
      <c r="O24" s="11">
        <f>Inputs!$B$5+N24</f>
        <v>29521.3092960069</v>
      </c>
      <c r="P24" s="11">
        <f>P23+K24</f>
        <v>-3478.690703993</v>
      </c>
      <c r="Q24" s="11">
        <f>Inputs!$B$5+P24</f>
        <v>4521.309296007</v>
      </c>
      <c r="R24" s="6">
        <f>MIN(K24,R25)</f>
        <v>1995.0650215698</v>
      </c>
      <c r="S24" s="6">
        <f>IF(AND(K24&gt;=0,R24&gt;=0),1,0)</f>
        <v>1</v>
      </c>
      <c r="T24" s="6">
        <f>IF(O24&lt;0,1,0)</f>
        <v>0</v>
      </c>
    </row>
    <row r="25">
      <c r="A25" t="n">
        <v>21</v>
      </c>
      <c r="B25" t="inlineStr">
        <is>
          <t>Month 21</t>
        </is>
      </c>
      <c r="C25" s="11">
        <f>IF($A25&lt;=12,C24*(1+Inputs!$B$8),C24*(1+Inputs!$B$9))</f>
        <v>7925.9169722169</v>
      </c>
      <c r="D25" s="11">
        <f>Inputs!$B$11</f>
        <v>2200</v>
      </c>
      <c r="E25" s="11">
        <f>IF($A25&gt;=Inputs!$B$13,Inputs!$B$12,0)</f>
        <v>1800</v>
      </c>
      <c r="F25" s="11">
        <f>Inputs!$B$14</f>
        <v>750</v>
      </c>
      <c r="G25" s="11">
        <f>Inputs!$B$15</f>
        <v>400</v>
      </c>
      <c r="H25" s="11">
        <f>Inputs!$B$16</f>
        <v>550</v>
      </c>
      <c r="I25" s="11">
        <f>IF($A25=1,Inputs!$B$17,0)</f>
        <v>0</v>
      </c>
      <c r="J25" s="11">
        <f>SUM(D25:I25)</f>
        <v>5700</v>
      </c>
      <c r="K25" s="11">
        <f>C25-J25</f>
        <v>2225.9169722169</v>
      </c>
      <c r="L25" s="11">
        <f>IF($A25=1,Inputs!$B$6,0)</f>
        <v>0</v>
      </c>
      <c r="M25" s="11">
        <f>K25+L25</f>
        <v>2225.9169722169</v>
      </c>
      <c r="N25" s="11">
        <f>N24+M25</f>
        <v>23747.2262682238</v>
      </c>
      <c r="O25" s="11">
        <f>Inputs!$B$5+N25</f>
        <v>31747.2262682238</v>
      </c>
      <c r="P25" s="11">
        <f>P24+K25</f>
        <v>-1252.7737317762</v>
      </c>
      <c r="Q25" s="11">
        <f>Inputs!$B$5+P25</f>
        <v>6747.2262682238</v>
      </c>
      <c r="R25" s="6">
        <f>MIN(K25,R26)</f>
        <v>2225.9169722169</v>
      </c>
      <c r="S25" s="6">
        <f>IF(AND(K25&gt;=0,R25&gt;=0),1,0)</f>
        <v>1</v>
      </c>
      <c r="T25" s="6">
        <f>IF(O25&lt;0,1,0)</f>
        <v>0</v>
      </c>
    </row>
    <row r="26">
      <c r="A26" t="n">
        <v>22</v>
      </c>
      <c r="B26" t="inlineStr">
        <is>
          <t>Month 22</t>
        </is>
      </c>
      <c r="C26" s="11">
        <f>IF($A26&lt;=12,C25*(1+Inputs!$B$8),C25*(1+Inputs!$B$9))</f>
        <v>8163.6944813834</v>
      </c>
      <c r="D26" s="11">
        <f>Inputs!$B$11</f>
        <v>2200</v>
      </c>
      <c r="E26" s="11">
        <f>IF($A26&gt;=Inputs!$B$13,Inputs!$B$12,0)</f>
        <v>1800</v>
      </c>
      <c r="F26" s="11">
        <f>Inputs!$B$14</f>
        <v>750</v>
      </c>
      <c r="G26" s="11">
        <f>Inputs!$B$15</f>
        <v>400</v>
      </c>
      <c r="H26" s="11">
        <f>Inputs!$B$16</f>
        <v>550</v>
      </c>
      <c r="I26" s="11">
        <f>IF($A26=1,Inputs!$B$17,0)</f>
        <v>0</v>
      </c>
      <c r="J26" s="11">
        <f>SUM(D26:I26)</f>
        <v>5700</v>
      </c>
      <c r="K26" s="11">
        <f>C26-J26</f>
        <v>2463.6944813834</v>
      </c>
      <c r="L26" s="11">
        <f>IF($A26=1,Inputs!$B$6,0)</f>
        <v>0</v>
      </c>
      <c r="M26" s="11">
        <f>K26+L26</f>
        <v>2463.6944813834</v>
      </c>
      <c r="N26" s="11">
        <f>N25+M26</f>
        <v>26210.9207496072</v>
      </c>
      <c r="O26" s="11">
        <f>Inputs!$B$5+N26</f>
        <v>34210.9207496072</v>
      </c>
      <c r="P26" s="11">
        <f>P25+K26</f>
        <v>1210.9207496072</v>
      </c>
      <c r="Q26" s="11">
        <f>Inputs!$B$5+P26</f>
        <v>9210.9207496072</v>
      </c>
      <c r="R26" s="6">
        <f>MIN(K26,R27)</f>
        <v>2463.6944813834</v>
      </c>
      <c r="S26" s="6">
        <f>IF(AND(K26&gt;=0,R26&gt;=0),1,0)</f>
        <v>1</v>
      </c>
      <c r="T26" s="6">
        <f>IF(O26&lt;0,1,0)</f>
        <v>0</v>
      </c>
    </row>
    <row r="27">
      <c r="A27" t="n">
        <v>23</v>
      </c>
      <c r="B27" t="inlineStr">
        <is>
          <t>Month 23</t>
        </is>
      </c>
      <c r="C27" s="11">
        <f>IF($A27&lt;=12,C26*(1+Inputs!$B$8),C26*(1+Inputs!$B$9))</f>
        <v>8408.6053158249</v>
      </c>
      <c r="D27" s="11">
        <f>Inputs!$B$11</f>
        <v>2200</v>
      </c>
      <c r="E27" s="11">
        <f>IF($A27&gt;=Inputs!$B$13,Inputs!$B$12,0)</f>
        <v>1800</v>
      </c>
      <c r="F27" s="11">
        <f>Inputs!$B$14</f>
        <v>750</v>
      </c>
      <c r="G27" s="11">
        <f>Inputs!$B$15</f>
        <v>400</v>
      </c>
      <c r="H27" s="11">
        <f>Inputs!$B$16</f>
        <v>550</v>
      </c>
      <c r="I27" s="11">
        <f>IF($A27=1,Inputs!$B$17,0)</f>
        <v>0</v>
      </c>
      <c r="J27" s="11">
        <f>SUM(D27:I27)</f>
        <v>5700</v>
      </c>
      <c r="K27" s="11">
        <f>C27-J27</f>
        <v>2708.6053158249</v>
      </c>
      <c r="L27" s="11">
        <f>IF($A27=1,Inputs!$B$6,0)</f>
        <v>0</v>
      </c>
      <c r="M27" s="11">
        <f>K27+L27</f>
        <v>2708.6053158249</v>
      </c>
      <c r="N27" s="11">
        <f>N26+M27</f>
        <v>28919.5260654321</v>
      </c>
      <c r="O27" s="11">
        <f>Inputs!$B$5+N27</f>
        <v>36919.5260654321</v>
      </c>
      <c r="P27" s="11">
        <f>P26+K27</f>
        <v>3919.5260654321</v>
      </c>
      <c r="Q27" s="11">
        <f>Inputs!$B$5+P27</f>
        <v>11919.5260654321</v>
      </c>
      <c r="R27" s="6">
        <f>MIN(K27,R28)</f>
        <v>2708.6053158249</v>
      </c>
      <c r="S27" s="6">
        <f>IF(AND(K27&gt;=0,R27&gt;=0),1,0)</f>
        <v>1</v>
      </c>
      <c r="T27" s="6">
        <f>IF(O27&lt;0,1,0)</f>
        <v>0</v>
      </c>
    </row>
    <row r="28">
      <c r="A28" t="n">
        <v>24</v>
      </c>
      <c r="B28" t="inlineStr">
        <is>
          <t>Month 24</t>
        </is>
      </c>
      <c r="C28" s="11">
        <f>IF($A28&lt;=12,C27*(1+Inputs!$B$8),C27*(1+Inputs!$B$9))</f>
        <v>8660.8634752996</v>
      </c>
      <c r="D28" s="11">
        <f>Inputs!$B$11</f>
        <v>2200</v>
      </c>
      <c r="E28" s="11">
        <f>IF($A28&gt;=Inputs!$B$13,Inputs!$B$12,0)</f>
        <v>1800</v>
      </c>
      <c r="F28" s="11">
        <f>Inputs!$B$14</f>
        <v>750</v>
      </c>
      <c r="G28" s="11">
        <f>Inputs!$B$15</f>
        <v>400</v>
      </c>
      <c r="H28" s="11">
        <f>Inputs!$B$16</f>
        <v>550</v>
      </c>
      <c r="I28" s="11">
        <f>IF($A28=1,Inputs!$B$17,0)</f>
        <v>0</v>
      </c>
      <c r="J28" s="11">
        <f>SUM(D28:I28)</f>
        <v>5700</v>
      </c>
      <c r="K28" s="11">
        <f>C28-J28</f>
        <v>2960.8634752996</v>
      </c>
      <c r="L28" s="11">
        <f>IF($A28=1,Inputs!$B$6,0)</f>
        <v>0</v>
      </c>
      <c r="M28" s="11">
        <f>K28+L28</f>
        <v>2960.8634752996</v>
      </c>
      <c r="N28" s="11">
        <f>N27+M28</f>
        <v>31880.3895407318</v>
      </c>
      <c r="O28" s="11">
        <f>Inputs!$B$5+N28</f>
        <v>39880.3895407318</v>
      </c>
      <c r="P28" s="11">
        <f>P27+K28</f>
        <v>6880.3895407318</v>
      </c>
      <c r="Q28" s="11">
        <f>Inputs!$B$5+P28</f>
        <v>14880.3895407318</v>
      </c>
      <c r="R28" s="6">
        <f>MIN(K28,R29)</f>
        <v>2960.8634752996</v>
      </c>
      <c r="S28" s="6">
        <f>IF(AND(K28&gt;=0,R28&gt;=0),1,0)</f>
        <v>1</v>
      </c>
      <c r="T28" s="6">
        <f>IF(O28&lt;0,1,0)</f>
        <v>0</v>
      </c>
    </row>
    <row r="29">
      <c r="A29" t="n">
        <v>25</v>
      </c>
      <c r="B29" t="inlineStr">
        <is>
          <t>Month 25</t>
        </is>
      </c>
      <c r="C29" s="11">
        <f>IF($A29&lt;=12,C28*(1+Inputs!$B$8),C28*(1+Inputs!$B$9))</f>
        <v>8920.6893795586</v>
      </c>
      <c r="D29" s="11">
        <f>Inputs!$B$11</f>
        <v>2200</v>
      </c>
      <c r="E29" s="11">
        <f>IF($A29&gt;=Inputs!$B$13,Inputs!$B$12,0)</f>
        <v>1800</v>
      </c>
      <c r="F29" s="11">
        <f>Inputs!$B$14</f>
        <v>750</v>
      </c>
      <c r="G29" s="11">
        <f>Inputs!$B$15</f>
        <v>400</v>
      </c>
      <c r="H29" s="11">
        <f>Inputs!$B$16</f>
        <v>550</v>
      </c>
      <c r="I29" s="11">
        <f>IF($A29=1,Inputs!$B$17,0)</f>
        <v>0</v>
      </c>
      <c r="J29" s="11">
        <f>SUM(D29:I29)</f>
        <v>5700</v>
      </c>
      <c r="K29" s="11">
        <f>C29-J29</f>
        <v>3220.6893795586</v>
      </c>
      <c r="L29" s="11">
        <f>IF($A29=1,Inputs!$B$6,0)</f>
        <v>0</v>
      </c>
      <c r="M29" s="11">
        <f>K29+L29</f>
        <v>3220.6893795586</v>
      </c>
      <c r="N29" s="11">
        <f>N28+M29</f>
        <v>35101.0789202904</v>
      </c>
      <c r="O29" s="11">
        <f>Inputs!$B$5+N29</f>
        <v>43101.0789202904</v>
      </c>
      <c r="P29" s="11">
        <f>P28+K29</f>
        <v>10101.0789202904</v>
      </c>
      <c r="Q29" s="11">
        <f>Inputs!$B$5+P29</f>
        <v>18101.0789202904</v>
      </c>
      <c r="R29" s="6">
        <f>MIN(K29,R30)</f>
        <v>3220.6893795586</v>
      </c>
      <c r="S29" s="6">
        <f>IF(AND(K29&gt;=0,R29&gt;=0),1,0)</f>
        <v>1</v>
      </c>
      <c r="T29" s="6">
        <f>IF(O29&lt;0,1,0)</f>
        <v>0</v>
      </c>
    </row>
    <row r="30">
      <c r="A30" t="n">
        <v>26</v>
      </c>
      <c r="B30" t="inlineStr">
        <is>
          <t>Month 26</t>
        </is>
      </c>
      <c r="C30" s="11">
        <f>IF($A30&lt;=12,C29*(1+Inputs!$B$8),C29*(1+Inputs!$B$9))</f>
        <v>9188.3100609454</v>
      </c>
      <c r="D30" s="11">
        <f>Inputs!$B$11</f>
        <v>2200</v>
      </c>
      <c r="E30" s="11">
        <f>IF($A30&gt;=Inputs!$B$13,Inputs!$B$12,0)</f>
        <v>1800</v>
      </c>
      <c r="F30" s="11">
        <f>Inputs!$B$14</f>
        <v>750</v>
      </c>
      <c r="G30" s="11">
        <f>Inputs!$B$15</f>
        <v>400</v>
      </c>
      <c r="H30" s="11">
        <f>Inputs!$B$16</f>
        <v>550</v>
      </c>
      <c r="I30" s="11">
        <f>IF($A30=1,Inputs!$B$17,0)</f>
        <v>0</v>
      </c>
      <c r="J30" s="11">
        <f>SUM(D30:I30)</f>
        <v>5700</v>
      </c>
      <c r="K30" s="11">
        <f>C30-J30</f>
        <v>3488.3100609454</v>
      </c>
      <c r="L30" s="11">
        <f>IF($A30=1,Inputs!$B$6,0)</f>
        <v>0</v>
      </c>
      <c r="M30" s="11">
        <f>K30+L30</f>
        <v>3488.3100609454</v>
      </c>
      <c r="N30" s="11">
        <f>N29+M30</f>
        <v>38589.3889812358</v>
      </c>
      <c r="O30" s="11">
        <f>Inputs!$B$5+N30</f>
        <v>46589.3889812358</v>
      </c>
      <c r="P30" s="11">
        <f>P29+K30</f>
        <v>13589.3889812358</v>
      </c>
      <c r="Q30" s="11">
        <f>Inputs!$B$5+P30</f>
        <v>21589.3889812358</v>
      </c>
      <c r="R30" s="6">
        <f>MIN(K30,R31)</f>
        <v>3488.3100609454</v>
      </c>
      <c r="S30" s="6">
        <f>IF(AND(K30&gt;=0,R30&gt;=0),1,0)</f>
        <v>1</v>
      </c>
      <c r="T30" s="6">
        <f>IF(O30&lt;0,1,0)</f>
        <v>0</v>
      </c>
    </row>
    <row r="31">
      <c r="A31" t="n">
        <v>27</v>
      </c>
      <c r="B31" t="inlineStr">
        <is>
          <t>Month 27</t>
        </is>
      </c>
      <c r="C31" s="11">
        <f>IF($A31&lt;=12,C30*(1+Inputs!$B$8),C30*(1+Inputs!$B$9))</f>
        <v>9463.9593627738</v>
      </c>
      <c r="D31" s="11">
        <f>Inputs!$B$11</f>
        <v>2200</v>
      </c>
      <c r="E31" s="11">
        <f>IF($A31&gt;=Inputs!$B$13,Inputs!$B$12,0)</f>
        <v>1800</v>
      </c>
      <c r="F31" s="11">
        <f>Inputs!$B$14</f>
        <v>750</v>
      </c>
      <c r="G31" s="11">
        <f>Inputs!$B$15</f>
        <v>400</v>
      </c>
      <c r="H31" s="11">
        <f>Inputs!$B$16</f>
        <v>550</v>
      </c>
      <c r="I31" s="11">
        <f>IF($A31=1,Inputs!$B$17,0)</f>
        <v>0</v>
      </c>
      <c r="J31" s="11">
        <f>SUM(D31:I31)</f>
        <v>5700</v>
      </c>
      <c r="K31" s="11">
        <f>C31-J31</f>
        <v>3763.9593627738</v>
      </c>
      <c r="L31" s="11">
        <f>IF($A31=1,Inputs!$B$6,0)</f>
        <v>0</v>
      </c>
      <c r="M31" s="11">
        <f>K31+L31</f>
        <v>3763.9593627738</v>
      </c>
      <c r="N31" s="11">
        <f>N30+M31</f>
        <v>42353.3483440096</v>
      </c>
      <c r="O31" s="11">
        <f>Inputs!$B$5+N31</f>
        <v>50353.3483440096</v>
      </c>
      <c r="P31" s="11">
        <f>P30+K31</f>
        <v>17353.3483440096</v>
      </c>
      <c r="Q31" s="11">
        <f>Inputs!$B$5+P31</f>
        <v>25353.3483440096</v>
      </c>
      <c r="R31" s="6">
        <f>MIN(K31,R32)</f>
        <v>3763.9593627738</v>
      </c>
      <c r="S31" s="6">
        <f>IF(AND(K31&gt;=0,R31&gt;=0),1,0)</f>
        <v>1</v>
      </c>
      <c r="T31" s="6">
        <f>IF(O31&lt;0,1,0)</f>
        <v>0</v>
      </c>
    </row>
    <row r="32">
      <c r="A32" t="n">
        <v>28</v>
      </c>
      <c r="B32" t="inlineStr">
        <is>
          <t>Month 28</t>
        </is>
      </c>
      <c r="C32" s="11">
        <f>IF($A32&lt;=12,C31*(1+Inputs!$B$8),C31*(1+Inputs!$B$9))</f>
        <v>9747.878143657</v>
      </c>
      <c r="D32" s="11">
        <f>Inputs!$B$11</f>
        <v>2200</v>
      </c>
      <c r="E32" s="11">
        <f>IF($A32&gt;=Inputs!$B$13,Inputs!$B$12,0)</f>
        <v>1800</v>
      </c>
      <c r="F32" s="11">
        <f>Inputs!$B$14</f>
        <v>750</v>
      </c>
      <c r="G32" s="11">
        <f>Inputs!$B$15</f>
        <v>400</v>
      </c>
      <c r="H32" s="11">
        <f>Inputs!$B$16</f>
        <v>550</v>
      </c>
      <c r="I32" s="11">
        <f>IF($A32=1,Inputs!$B$17,0)</f>
        <v>0</v>
      </c>
      <c r="J32" s="11">
        <f>SUM(D32:I32)</f>
        <v>5700</v>
      </c>
      <c r="K32" s="11">
        <f>C32-J32</f>
        <v>4047.878143657</v>
      </c>
      <c r="L32" s="11">
        <f>IF($A32=1,Inputs!$B$6,0)</f>
        <v>0</v>
      </c>
      <c r="M32" s="11">
        <f>K32+L32</f>
        <v>4047.878143657</v>
      </c>
      <c r="N32" s="11">
        <f>N31+M32</f>
        <v>46401.2264876666</v>
      </c>
      <c r="O32" s="11">
        <f>Inputs!$B$5+N32</f>
        <v>54401.2264876666</v>
      </c>
      <c r="P32" s="11">
        <f>P31+K32</f>
        <v>21401.2264876666</v>
      </c>
      <c r="Q32" s="11">
        <f>Inputs!$B$5+P32</f>
        <v>29401.2264876666</v>
      </c>
      <c r="R32" s="6">
        <f>MIN(K32,R33)</f>
        <v>4047.878143657</v>
      </c>
      <c r="S32" s="6">
        <f>IF(AND(K32&gt;=0,R32&gt;=0),1,0)</f>
        <v>1</v>
      </c>
      <c r="T32" s="6">
        <f>IF(O32&lt;0,1,0)</f>
        <v>0</v>
      </c>
    </row>
    <row r="33">
      <c r="A33" t="n">
        <v>29</v>
      </c>
      <c r="B33" t="inlineStr">
        <is>
          <t>Month 29</t>
        </is>
      </c>
      <c r="C33" s="11">
        <f>IF($A33&lt;=12,C32*(1+Inputs!$B$8),C32*(1+Inputs!$B$9))</f>
        <v>10040.3144879667</v>
      </c>
      <c r="D33" s="11">
        <f>Inputs!$B$11</f>
        <v>2200</v>
      </c>
      <c r="E33" s="11">
        <f>IF($A33&gt;=Inputs!$B$13,Inputs!$B$12,0)</f>
        <v>1800</v>
      </c>
      <c r="F33" s="11">
        <f>Inputs!$B$14</f>
        <v>750</v>
      </c>
      <c r="G33" s="11">
        <f>Inputs!$B$15</f>
        <v>400</v>
      </c>
      <c r="H33" s="11">
        <f>Inputs!$B$16</f>
        <v>550</v>
      </c>
      <c r="I33" s="11">
        <f>IF($A33=1,Inputs!$B$17,0)</f>
        <v>0</v>
      </c>
      <c r="J33" s="11">
        <f>SUM(D33:I33)</f>
        <v>5700</v>
      </c>
      <c r="K33" s="11">
        <f>C33-J33</f>
        <v>4340.3144879667</v>
      </c>
      <c r="L33" s="11">
        <f>IF($A33=1,Inputs!$B$6,0)</f>
        <v>0</v>
      </c>
      <c r="M33" s="11">
        <f>K33+L33</f>
        <v>4340.3144879667</v>
      </c>
      <c r="N33" s="11">
        <f>N32+M33</f>
        <v>50741.5409756332</v>
      </c>
      <c r="O33" s="11">
        <f>Inputs!$B$5+N33</f>
        <v>58741.5409756332</v>
      </c>
      <c r="P33" s="11">
        <f>P32+K33</f>
        <v>25741.5409756333</v>
      </c>
      <c r="Q33" s="11">
        <f>Inputs!$B$5+P33</f>
        <v>33741.5409756333</v>
      </c>
      <c r="R33" s="6">
        <f>MIN(K33,R34)</f>
        <v>4340.3144879667</v>
      </c>
      <c r="S33" s="6">
        <f>IF(AND(K33&gt;=0,R33&gt;=0),1,0)</f>
        <v>1</v>
      </c>
      <c r="T33" s="6">
        <f>IF(O33&lt;0,1,0)</f>
        <v>0</v>
      </c>
    </row>
    <row r="34">
      <c r="A34" t="n">
        <v>30</v>
      </c>
      <c r="B34" t="inlineStr">
        <is>
          <t>Month 30</t>
        </is>
      </c>
      <c r="C34" s="11">
        <f>IF($A34&lt;=12,C33*(1+Inputs!$B$8),C33*(1+Inputs!$B$9))</f>
        <v>10341.5239226057</v>
      </c>
      <c r="D34" s="11">
        <f>Inputs!$B$11</f>
        <v>2200</v>
      </c>
      <c r="E34" s="11">
        <f>IF($A34&gt;=Inputs!$B$13,Inputs!$B$12,0)</f>
        <v>1800</v>
      </c>
      <c r="F34" s="11">
        <f>Inputs!$B$14</f>
        <v>750</v>
      </c>
      <c r="G34" s="11">
        <f>Inputs!$B$15</f>
        <v>400</v>
      </c>
      <c r="H34" s="11">
        <f>Inputs!$B$16</f>
        <v>550</v>
      </c>
      <c r="I34" s="11">
        <f>IF($A34=1,Inputs!$B$17,0)</f>
        <v>0</v>
      </c>
      <c r="J34" s="11">
        <f>SUM(D34:I34)</f>
        <v>5700</v>
      </c>
      <c r="K34" s="11">
        <f>C34-J34</f>
        <v>4641.5239226057</v>
      </c>
      <c r="L34" s="11">
        <f>IF($A34=1,Inputs!$B$6,0)</f>
        <v>0</v>
      </c>
      <c r="M34" s="11">
        <f>K34+L34</f>
        <v>4641.5239226057</v>
      </c>
      <c r="N34" s="11">
        <f>N33+M34</f>
        <v>55383.0648982389</v>
      </c>
      <c r="O34" s="11">
        <f>Inputs!$B$5+N34</f>
        <v>63383.0648982389</v>
      </c>
      <c r="P34" s="11">
        <f>P33+K34</f>
        <v>30383.0648982389</v>
      </c>
      <c r="Q34" s="11">
        <f>Inputs!$B$5+P34</f>
        <v>38383.0648982389</v>
      </c>
      <c r="R34" s="6">
        <f>MIN(K34,R35)</f>
        <v>4641.5239226057</v>
      </c>
      <c r="S34" s="6">
        <f>IF(AND(K34&gt;=0,R34&gt;=0),1,0)</f>
        <v>1</v>
      </c>
      <c r="T34" s="6">
        <f>IF(O34&lt;0,1,0)</f>
        <v>0</v>
      </c>
    </row>
    <row r="35">
      <c r="A35" t="n">
        <v>31</v>
      </c>
      <c r="B35" t="inlineStr">
        <is>
          <t>Month 31</t>
        </is>
      </c>
      <c r="C35" s="11">
        <f>IF($A35&lt;=12,C34*(1+Inputs!$B$8),C34*(1+Inputs!$B$9))</f>
        <v>10651.7696402839</v>
      </c>
      <c r="D35" s="11">
        <f>Inputs!$B$11</f>
        <v>2200</v>
      </c>
      <c r="E35" s="11">
        <f>IF($A35&gt;=Inputs!$B$13,Inputs!$B$12,0)</f>
        <v>1800</v>
      </c>
      <c r="F35" s="11">
        <f>Inputs!$B$14</f>
        <v>750</v>
      </c>
      <c r="G35" s="11">
        <f>Inputs!$B$15</f>
        <v>400</v>
      </c>
      <c r="H35" s="11">
        <f>Inputs!$B$16</f>
        <v>550</v>
      </c>
      <c r="I35" s="11">
        <f>IF($A35=1,Inputs!$B$17,0)</f>
        <v>0</v>
      </c>
      <c r="J35" s="11">
        <f>SUM(D35:I35)</f>
        <v>5700</v>
      </c>
      <c r="K35" s="11">
        <f>C35-J35</f>
        <v>4951.7696402839</v>
      </c>
      <c r="L35" s="11">
        <f>IF($A35=1,Inputs!$B$6,0)</f>
        <v>0</v>
      </c>
      <c r="M35" s="11">
        <f>K35+L35</f>
        <v>4951.7696402839</v>
      </c>
      <c r="N35" s="11">
        <f>N34+M35</f>
        <v>60334.8345385228</v>
      </c>
      <c r="O35" s="11">
        <f>Inputs!$B$5+N35</f>
        <v>68334.8345385228</v>
      </c>
      <c r="P35" s="11">
        <f>P34+K35</f>
        <v>35334.8345385228</v>
      </c>
      <c r="Q35" s="11">
        <f>Inputs!$B$5+P35</f>
        <v>43334.8345385228</v>
      </c>
      <c r="R35" s="6">
        <f>MIN(K35,R36)</f>
        <v>4951.7696402839</v>
      </c>
      <c r="S35" s="6">
        <f>IF(AND(K35&gt;=0,R35&gt;=0),1,0)</f>
        <v>1</v>
      </c>
      <c r="T35" s="6">
        <f>IF(O35&lt;0,1,0)</f>
        <v>0</v>
      </c>
    </row>
    <row r="36">
      <c r="A36" t="n">
        <v>32</v>
      </c>
      <c r="B36" t="inlineStr">
        <is>
          <t>Month 32</t>
        </is>
      </c>
      <c r="C36" s="11">
        <f>IF($A36&lt;=12,C35*(1+Inputs!$B$8),C35*(1+Inputs!$B$9))</f>
        <v>10971.3227294924</v>
      </c>
      <c r="D36" s="11">
        <f>Inputs!$B$11</f>
        <v>2200</v>
      </c>
      <c r="E36" s="11">
        <f>IF($A36&gt;=Inputs!$B$13,Inputs!$B$12,0)</f>
        <v>1800</v>
      </c>
      <c r="F36" s="11">
        <f>Inputs!$B$14</f>
        <v>750</v>
      </c>
      <c r="G36" s="11">
        <f>Inputs!$B$15</f>
        <v>400</v>
      </c>
      <c r="H36" s="11">
        <f>Inputs!$B$16</f>
        <v>550</v>
      </c>
      <c r="I36" s="11">
        <f>IF($A36=1,Inputs!$B$17,0)</f>
        <v>0</v>
      </c>
      <c r="J36" s="11">
        <f>SUM(D36:I36)</f>
        <v>5700</v>
      </c>
      <c r="K36" s="11">
        <f>C36-J36</f>
        <v>5271.3227294924</v>
      </c>
      <c r="L36" s="11">
        <f>IF($A36=1,Inputs!$B$6,0)</f>
        <v>0</v>
      </c>
      <c r="M36" s="11">
        <f>K36+L36</f>
        <v>5271.3227294924</v>
      </c>
      <c r="N36" s="11">
        <f>N35+M36</f>
        <v>65606.1572680151</v>
      </c>
      <c r="O36" s="11">
        <f>Inputs!$B$5+N36</f>
        <v>73606.1572680151</v>
      </c>
      <c r="P36" s="11">
        <f>P35+K36</f>
        <v>40606.1572680152</v>
      </c>
      <c r="Q36" s="11">
        <f>Inputs!$B$5+P36</f>
        <v>48606.1572680152</v>
      </c>
      <c r="R36" s="6">
        <f>MIN(K36,R37)</f>
        <v>5271.3227294924</v>
      </c>
      <c r="S36" s="6">
        <f>IF(AND(K36&gt;=0,R36&gt;=0),1,0)</f>
        <v>1</v>
      </c>
      <c r="T36" s="6">
        <f>IF(O36&lt;0,1,0)</f>
        <v>0</v>
      </c>
    </row>
    <row r="37">
      <c r="A37" t="n">
        <v>33</v>
      </c>
      <c r="B37" t="inlineStr">
        <is>
          <t>Month 33</t>
        </is>
      </c>
      <c r="C37" s="11">
        <f>IF($A37&lt;=12,C36*(1+Inputs!$B$8),C36*(1+Inputs!$B$9))</f>
        <v>11300.4624113771</v>
      </c>
      <c r="D37" s="11">
        <f>Inputs!$B$11</f>
        <v>2200</v>
      </c>
      <c r="E37" s="11">
        <f>IF($A37&gt;=Inputs!$B$13,Inputs!$B$12,0)</f>
        <v>1800</v>
      </c>
      <c r="F37" s="11">
        <f>Inputs!$B$14</f>
        <v>750</v>
      </c>
      <c r="G37" s="11">
        <f>Inputs!$B$15</f>
        <v>400</v>
      </c>
      <c r="H37" s="11">
        <f>Inputs!$B$16</f>
        <v>550</v>
      </c>
      <c r="I37" s="11">
        <f>IF($A37=1,Inputs!$B$17,0)</f>
        <v>0</v>
      </c>
      <c r="J37" s="11">
        <f>SUM(D37:I37)</f>
        <v>5700</v>
      </c>
      <c r="K37" s="11">
        <f>C37-J37</f>
        <v>5600.4624113771</v>
      </c>
      <c r="L37" s="11">
        <f>IF($A37=1,Inputs!$B$6,0)</f>
        <v>0</v>
      </c>
      <c r="M37" s="11">
        <f>K37+L37</f>
        <v>5600.4624113771</v>
      </c>
      <c r="N37" s="11">
        <f>N36+M37</f>
        <v>71206.6196793923</v>
      </c>
      <c r="O37" s="11">
        <f>Inputs!$B$5+N37</f>
        <v>79206.6196793923</v>
      </c>
      <c r="P37" s="11">
        <f>P36+K37</f>
        <v>46206.6196793923</v>
      </c>
      <c r="Q37" s="11">
        <f>Inputs!$B$5+P37</f>
        <v>54206.6196793923</v>
      </c>
      <c r="R37" s="6">
        <f>MIN(K37,R38)</f>
        <v>5600.4624113771</v>
      </c>
      <c r="S37" s="6">
        <f>IF(AND(K37&gt;=0,R37&gt;=0),1,0)</f>
        <v>1</v>
      </c>
      <c r="T37" s="6">
        <f>IF(O37&lt;0,1,0)</f>
        <v>0</v>
      </c>
    </row>
    <row r="38">
      <c r="A38" t="n">
        <v>34</v>
      </c>
      <c r="B38" t="inlineStr">
        <is>
          <t>Month 34</t>
        </is>
      </c>
      <c r="C38" s="11">
        <f>IF($A38&lt;=12,C37*(1+Inputs!$B$8),C37*(1+Inputs!$B$9))</f>
        <v>11639.4762837185</v>
      </c>
      <c r="D38" s="11">
        <f>Inputs!$B$11</f>
        <v>2200</v>
      </c>
      <c r="E38" s="11">
        <f>IF($A38&gt;=Inputs!$B$13,Inputs!$B$12,0)</f>
        <v>1800</v>
      </c>
      <c r="F38" s="11">
        <f>Inputs!$B$14</f>
        <v>750</v>
      </c>
      <c r="G38" s="11">
        <f>Inputs!$B$15</f>
        <v>400</v>
      </c>
      <c r="H38" s="11">
        <f>Inputs!$B$16</f>
        <v>550</v>
      </c>
      <c r="I38" s="11">
        <f>IF($A38=1,Inputs!$B$17,0)</f>
        <v>0</v>
      </c>
      <c r="J38" s="11">
        <f>SUM(D38:I38)</f>
        <v>5700</v>
      </c>
      <c r="K38" s="11">
        <f>C38-J38</f>
        <v>5939.4762837185</v>
      </c>
      <c r="L38" s="11">
        <f>IF($A38=1,Inputs!$B$6,0)</f>
        <v>0</v>
      </c>
      <c r="M38" s="11">
        <f>K38+L38</f>
        <v>5939.4762837185</v>
      </c>
      <c r="N38" s="11">
        <f>N37+M38</f>
        <v>77146.0959631107</v>
      </c>
      <c r="O38" s="11">
        <f>Inputs!$B$5+N38</f>
        <v>85146.0959631107</v>
      </c>
      <c r="P38" s="11">
        <f>P37+K38</f>
        <v>52146.0959631108</v>
      </c>
      <c r="Q38" s="11">
        <f>Inputs!$B$5+P38</f>
        <v>60146.0959631108</v>
      </c>
      <c r="R38" s="6">
        <f>MIN(K38,R39)</f>
        <v>5939.4762837185</v>
      </c>
      <c r="S38" s="6">
        <f>IF(AND(K38&gt;=0,R38&gt;=0),1,0)</f>
        <v>1</v>
      </c>
      <c r="T38" s="6">
        <f>IF(O38&lt;0,1,0)</f>
        <v>0</v>
      </c>
    </row>
    <row r="39">
      <c r="A39" t="n">
        <v>35</v>
      </c>
      <c r="B39" t="inlineStr">
        <is>
          <t>Month 35</t>
        </is>
      </c>
      <c r="C39" s="11">
        <f>IF($A39&lt;=12,C38*(1+Inputs!$B$8),C38*(1+Inputs!$B$9))</f>
        <v>11988.66057223</v>
      </c>
      <c r="D39" s="11">
        <f>Inputs!$B$11</f>
        <v>2200</v>
      </c>
      <c r="E39" s="11">
        <f>IF($A39&gt;=Inputs!$B$13,Inputs!$B$12,0)</f>
        <v>1800</v>
      </c>
      <c r="F39" s="11">
        <f>Inputs!$B$14</f>
        <v>750</v>
      </c>
      <c r="G39" s="11">
        <f>Inputs!$B$15</f>
        <v>400</v>
      </c>
      <c r="H39" s="11">
        <f>Inputs!$B$16</f>
        <v>550</v>
      </c>
      <c r="I39" s="11">
        <f>IF($A39=1,Inputs!$B$17,0)</f>
        <v>0</v>
      </c>
      <c r="J39" s="11">
        <f>SUM(D39:I39)</f>
        <v>5700</v>
      </c>
      <c r="K39" s="11">
        <f>C39-J39</f>
        <v>6288.66057223</v>
      </c>
      <c r="L39" s="11">
        <f>IF($A39=1,Inputs!$B$6,0)</f>
        <v>0</v>
      </c>
      <c r="M39" s="11">
        <f>K39+L39</f>
        <v>6288.66057223</v>
      </c>
      <c r="N39" s="11">
        <f>N38+M39</f>
        <v>83434.7565353408</v>
      </c>
      <c r="O39" s="11">
        <f>Inputs!$B$5+N39</f>
        <v>91434.7565353408</v>
      </c>
      <c r="P39" s="11">
        <f>P38+K39</f>
        <v>58434.7565353408</v>
      </c>
      <c r="Q39" s="11">
        <f>Inputs!$B$5+P39</f>
        <v>66434.7565353408</v>
      </c>
      <c r="R39" s="6">
        <f>MIN(K39,R40)</f>
        <v>6288.66057223</v>
      </c>
      <c r="S39" s="6">
        <f>IF(AND(K39&gt;=0,R39&gt;=0),1,0)</f>
        <v>1</v>
      </c>
      <c r="T39" s="6">
        <f>IF(O39&lt;0,1,0)</f>
        <v>0</v>
      </c>
    </row>
    <row r="40">
      <c r="A40" t="n">
        <v>36</v>
      </c>
      <c r="B40" t="inlineStr">
        <is>
          <t>Month 36</t>
        </is>
      </c>
      <c r="C40" s="11">
        <f>IF($A40&lt;=12,C39*(1+Inputs!$B$8),C39*(1+Inputs!$B$9))</f>
        <v>12348.3203893969</v>
      </c>
      <c r="D40" s="11">
        <f>Inputs!$B$11</f>
        <v>2200</v>
      </c>
      <c r="E40" s="11">
        <f>IF($A40&gt;=Inputs!$B$13,Inputs!$B$12,0)</f>
        <v>1800</v>
      </c>
      <c r="F40" s="11">
        <f>Inputs!$B$14</f>
        <v>750</v>
      </c>
      <c r="G40" s="11">
        <f>Inputs!$B$15</f>
        <v>400</v>
      </c>
      <c r="H40" s="11">
        <f>Inputs!$B$16</f>
        <v>550</v>
      </c>
      <c r="I40" s="11">
        <f>IF($A40=1,Inputs!$B$17,0)</f>
        <v>0</v>
      </c>
      <c r="J40" s="11">
        <f>SUM(D40:I40)</f>
        <v>5700</v>
      </c>
      <c r="K40" s="11">
        <f>C40-J40</f>
        <v>6648.3203893969</v>
      </c>
      <c r="L40" s="11">
        <f>IF($A40=1,Inputs!$B$6,0)</f>
        <v>0</v>
      </c>
      <c r="M40" s="11">
        <f>K40+L40</f>
        <v>6648.3203893969</v>
      </c>
      <c r="N40" s="11">
        <f>N39+M40</f>
        <v>90083.0769247377</v>
      </c>
      <c r="O40" s="11">
        <f>Inputs!$B$5+N40</f>
        <v>98083.0769247377</v>
      </c>
      <c r="P40" s="11">
        <f>P39+K40</f>
        <v>65083.0769247377</v>
      </c>
      <c r="Q40" s="11">
        <f>Inputs!$B$5+P40</f>
        <v>73083.0769247377</v>
      </c>
      <c r="R40" s="6">
        <f>K40</f>
        <v>6648.3203893969</v>
      </c>
      <c r="S40" s="6">
        <f>IF(AND(K40&gt;=0,R40&gt;=0),1,0)</f>
        <v>1</v>
      </c>
      <c r="T40" s="6">
        <f>IF(O40&lt;0,1,0)</f>
        <v>0</v>
      </c>
    </row>
    <row r="42">
      <c r="A42" s="12" t="inlineStr">
        <is>
          <t>KEY ANSWERS — BASE PLAN</t>
        </is>
      </c>
    </row>
    <row r="43">
      <c r="A43" s="13" t="inlineStr">
        <is>
          <t>Break-even month (profit reaches £0 and stays there)</t>
        </is>
      </c>
      <c r="F43" s="14">
        <f>IFERROR(MATCH(1,S5:S40,0),"Not in 36 months")</f>
        <v>11</v>
      </c>
    </row>
    <row r="44">
      <c r="A44" s="13" t="inlineStr">
        <is>
          <t>Lowest closing cash</t>
        </is>
      </c>
      <c r="F44" s="11">
        <f>MIN(O5:O40)</f>
        <v>19078.5438156189</v>
      </c>
    </row>
    <row r="45">
      <c r="A45" s="13" t="inlineStr">
        <is>
          <t>Month of the lowest cash</t>
        </is>
      </c>
      <c r="F45" s="14">
        <f>MATCH(F44,O5:O40,0)</f>
        <v>10</v>
      </c>
    </row>
    <row r="46">
      <c r="A46" s="13" t="inlineStr">
        <is>
          <t>Cash first below £0 in month</t>
        </is>
      </c>
      <c r="F46" s="14" t="str">
        <f>IFERROR(MATCH(1,T5:T40,0),"Never — cash stays above £0 in all 36 months")</f>
        <v>Never — cash stays above £0 in all 36 months</v>
      </c>
    </row>
    <row r="47">
      <c r="A47" s="13" t="inlineStr">
        <is>
          <t>Deepest hole — funding needed to keep cash at £0 or above</t>
        </is>
      </c>
      <c r="F47" s="11">
        <f>MAX(0,-MIN(Q5:Q40))</f>
        <v>5921.4561843811</v>
      </c>
    </row>
    <row r="48">
      <c r="A48" s="13" t="inlineStr">
        <is>
          <t>Funding ask</t>
        </is>
      </c>
      <c r="F48" s="11">
        <f>Inputs!$B$6</f>
        <v>25000</v>
      </c>
    </row>
    <row r="49" ht="30" customHeight="1">
      <c r="A49" s="13" t="inlineStr">
        <is>
          <t>Does the ask cover the deepest hole?</t>
        </is>
      </c>
      <c r="F49" s="4" t="str">
        <f>IF(F48&gt;=F47,"YES — the ask covers the deepest hole, with £"&amp;TEXT(F50,"#,##0")&amp;" to spare","NO — the ask is £"&amp;TEXT(F47-F48,"#,##0")&amp;" short of the deepest hole. Ask for more, cut costs, or phase the start.")</f>
        <v>YES — the ask covers the deepest hole, with £19,079 to spare</v>
      </c>
    </row>
    <row r="50">
      <c r="A50" s="13" t="inlineStr">
        <is>
          <t>Headroom (ask − funding needed)</t>
        </is>
      </c>
      <c r="F50" s="11">
        <f>F48-F47</f>
        <v>19078.5438156189</v>
      </c>
    </row>
    <row r="52">
      <c r="A52" s="12" t="inlineStr">
        <is>
          <t>THREE-YEAR SUMMARY — BASE PLAN</t>
        </is>
      </c>
    </row>
    <row r="53">
      <c r="A53" s="12" t="inlineStr"/>
      <c r="B53" s="12" t="inlineStr">
        <is>
          <t>Year 1</t>
        </is>
      </c>
      <c r="C53" s="12" t="inlineStr">
        <is>
          <t>Year 2</t>
        </is>
      </c>
      <c r="D53" s="12" t="inlineStr">
        <is>
          <t>Year 3</t>
        </is>
      </c>
    </row>
    <row r="54">
      <c r="A54" t="inlineStr">
        <is>
          <t>Revenue</t>
        </is>
      </c>
      <c r="B54" s="15">
        <f>SUM(C5:C16)</f>
        <v>53983.8118312294</v>
      </c>
      <c r="C54" s="15">
        <f>SUM(C17:C28)</f>
        <v>88796.5777095024</v>
      </c>
      <c r="D54" s="15">
        <f>SUM(C29:C40)</f>
        <v>126602.6873840059</v>
      </c>
    </row>
    <row r="55">
      <c r="A55" t="inlineStr">
        <is>
          <t>Total costs</t>
        </is>
      </c>
      <c r="B55" s="11">
        <f>SUM(J5:J16)</f>
        <v>67500</v>
      </c>
      <c r="C55" s="11">
        <f>SUM(J17:J28)</f>
        <v>68400</v>
      </c>
      <c r="D55" s="11">
        <f>SUM(J29:J40)</f>
        <v>68400</v>
      </c>
    </row>
    <row r="56">
      <c r="A56" t="inlineStr">
        <is>
          <t>Profit / (loss)</t>
        </is>
      </c>
      <c r="B56" s="15">
        <f>SUM(K5:K16)</f>
        <v>-13516.1881687706</v>
      </c>
      <c r="C56" s="15">
        <f>SUM(K17:K28)</f>
        <v>20396.5777095024</v>
      </c>
      <c r="D56" s="15">
        <f>SUM(K29:K40)</f>
        <v>58202.6873840059</v>
      </c>
    </row>
    <row r="57">
      <c r="A57" t="inlineStr">
        <is>
          <t>Closing cash at year end</t>
        </is>
      </c>
      <c r="B57" s="11">
        <f>O16</f>
        <v>19483.8118312294</v>
      </c>
      <c r="C57" s="11">
        <f>O28</f>
        <v>39880.3895407318</v>
      </c>
      <c r="D57" s="11">
        <f>O40</f>
        <v>98083.0769247377</v>
      </c>
    </row>
    <row r="58">
      <c r="A58" t="inlineStr">
        <is>
          <t>Lowest cash in the year</t>
        </is>
      </c>
      <c r="B58" s="11">
        <f>MIN(O5:O16)</f>
        <v>19078.5438156189</v>
      </c>
      <c r="C58" s="11">
        <f>MIN(O17:O28)</f>
        <v>20040.6038795029</v>
      </c>
      <c r="D58" s="11">
        <f>MIN(O29:O40)</f>
        <v>43101.0789202904</v>
      </c>
    </row>
  </sheetData>
  <mergeCells count="18">
    <mergeCell ref="A50:E50"/>
    <mergeCell ref="A58"/>
    <mergeCell ref="A48:E48"/>
    <mergeCell ref="A43:E43"/>
    <mergeCell ref="A2:U2"/>
    <mergeCell ref="F49:U49"/>
    <mergeCell ref="A52:U52"/>
    <mergeCell ref="A56"/>
    <mergeCell ref="A55"/>
    <mergeCell ref="A49:E49"/>
    <mergeCell ref="A57"/>
    <mergeCell ref="A42:U42"/>
    <mergeCell ref="A45:E45"/>
    <mergeCell ref="A46:E46"/>
    <mergeCell ref="A47:E47"/>
    <mergeCell ref="A54"/>
    <mergeCell ref="A44:E44"/>
    <mergeCell ref="A1:U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P58"/>
  <sheetViews>
    <sheetView workbookViewId="0">
      <pane xSplit="1" ySplit="22" topLeftCell="B23" activePane="bottomRight" state="frozen"/>
      <selection pane="topRight"/>
      <selection pane="bottomLeft"/>
      <selection pane="bottomRight" activeCell="A1" sqref="A1"/>
    </sheetView>
  </sheetViews>
  <sheetFormatPr baseColWidth="8" defaultRowHeight="15"/>
  <cols>
    <col width="40" customWidth="1" min="1" max="1"/>
    <col width="14" customWidth="1" min="2" max="2"/>
    <col width="15" customWidth="1" min="3" max="3"/>
    <col width="15" customWidth="1" min="4" max="4"/>
    <col width="15" customWidth="1" min="5" max="5"/>
    <col width="15" customWidth="1" min="6" max="6"/>
    <col width="15" customWidth="1" min="7" max="7"/>
    <col width="15" customWidth="1" min="8" max="8"/>
    <col width="3" customWidth="1" min="9" max="9"/>
    <col width="14" customWidth="1" min="10" max="10"/>
    <col width="15" customWidth="1" min="11" max="11"/>
    <col width="15" customWidth="1" min="12" max="12"/>
    <col width="15" customWidth="1" min="13" max="13"/>
    <col width="15" customWidth="1" min="14" max="14"/>
    <col width="15" customWidth="1" min="15" max="15"/>
    <col width="15" customWidth="1" min="16" max="16"/>
  </cols>
  <sheetData>
    <row r="1" ht="26" customHeight="1">
      <c r="A1" s="1" t="inlineStr">
        <is>
          <t>SCENARIOS — THE SAME PLAN, RUN LOW AND HIGH</t>
        </is>
      </c>
    </row>
    <row r="2" ht="6" customHeight="1">
      <c r="A2" s="2" t="n"/>
    </row>
    <row r="4" ht="45" customHeight="1">
      <c r="A4" s="4" t="inlineStr">
        <is>
          <t>Low and High change only two things: the revenue level and the growth rate. Costs, starting cash and the funding ask stay the same in all three plans — that is what makes the comparison honest. Type over the pale cells to set your own variations.</t>
        </is>
      </c>
    </row>
    <row r="7">
      <c r="A7" t="inlineStr">
        <is>
          <t>Low plan — revenue change</t>
        </is>
      </c>
      <c r="B7" s="8" t="n">
        <v>-0.2</v>
      </c>
      <c r="C7" s="4" t="inlineStr">
        <is>
          <t>Every month's revenue is this much lower than Base.</t>
        </is>
      </c>
    </row>
    <row r="8">
      <c r="A8" t="inlineStr">
        <is>
          <t>Low plan — growth change (points)</t>
        </is>
      </c>
      <c r="B8" s="8" t="n">
        <v>-0.02</v>
      </c>
      <c r="C8" s="4" t="inlineStr">
        <is>
          <t>Growth each month is this many points slower than Base.</t>
        </is>
      </c>
    </row>
    <row r="9">
      <c r="A9" t="inlineStr">
        <is>
          <t>High plan — revenue change</t>
        </is>
      </c>
      <c r="B9" s="8" t="n">
        <v>0.2</v>
      </c>
      <c r="C9" s="4" t="inlineStr">
        <is>
          <t>Every month's revenue is this much higher than Base.</t>
        </is>
      </c>
    </row>
    <row r="10">
      <c r="A10" t="inlineStr">
        <is>
          <t>High plan — growth change (points)</t>
        </is>
      </c>
      <c r="B10" s="8" t="n">
        <v>0.02</v>
      </c>
      <c r="C10" s="4" t="inlineStr">
        <is>
          <t>Growth each month is this many points faster than Base.</t>
        </is>
      </c>
    </row>
    <row r="12">
      <c r="A12" s="12" t="inlineStr">
        <is>
          <t>SCENARIO RESULTS</t>
        </is>
      </c>
    </row>
    <row r="13">
      <c r="A13" s="12" t="inlineStr"/>
      <c r="B13" s="12" t="inlineStr">
        <is>
          <t>Low</t>
        </is>
      </c>
      <c r="C13" s="12" t="inlineStr">
        <is>
          <t>Base</t>
        </is>
      </c>
      <c r="D13" s="12" t="inlineStr">
        <is>
          <t>High</t>
        </is>
      </c>
    </row>
    <row r="14">
      <c r="A14" t="inlineStr">
        <is>
          <t>Year-1 revenue</t>
        </is>
      </c>
      <c r="B14" s="15">
        <f>SUM(C23:C34)</f>
        <v>38466.0619883316</v>
      </c>
      <c r="C14" s="15">
        <f>Forecast!B54</f>
        <v>53983.8118312294</v>
      </c>
      <c r="D14" s="15">
        <f>SUM(K23:K34)</f>
        <v>72872.165607311</v>
      </c>
    </row>
    <row r="15">
      <c r="A15" t="inlineStr">
        <is>
          <t>Year-1 profit / (loss)</t>
        </is>
      </c>
      <c r="B15" s="15">
        <f>SUM(D23:D34)</f>
        <v>-29033.9380116684</v>
      </c>
      <c r="C15" s="15">
        <f>Forecast!B56</f>
        <v>-13516.1881687706</v>
      </c>
      <c r="D15" s="15">
        <f>SUM(L23:L34)</f>
        <v>5372.165607311</v>
      </c>
    </row>
    <row r="16">
      <c r="A16" t="inlineStr">
        <is>
          <t>Lowest cash point</t>
        </is>
      </c>
      <c r="B16" s="15">
        <f>MIN(E23:E58)</f>
        <v>-25468.4238230503</v>
      </c>
      <c r="C16" s="15">
        <f>Forecast!F44</f>
        <v>19078.5438156189</v>
      </c>
      <c r="D16" s="15">
        <f>MIN(M23:M58)</f>
        <v>27869.967501312</v>
      </c>
    </row>
    <row r="17">
      <c r="A17" t="inlineStr">
        <is>
          <t>Month of lowest cash</t>
        </is>
      </c>
      <c r="B17" s="6">
        <f>MATCH(B16,E23:E58,0)</f>
        <v>36</v>
      </c>
      <c r="C17" s="6">
        <f>Forecast!F45</f>
        <v>10</v>
      </c>
      <c r="D17" s="6">
        <f>MATCH(D16,M23:M58,0)</f>
        <v>6</v>
      </c>
    </row>
    <row r="18">
      <c r="A18" t="inlineStr">
        <is>
          <t>Break-even month</t>
        </is>
      </c>
      <c r="B18" s="6" t="str">
        <f>IFERROR(MATCH(1,G23:G58,0),"Not in 36 months")</f>
        <v>Not in 36 months</v>
      </c>
      <c r="C18" s="6">
        <f>Forecast!F43</f>
        <v>11</v>
      </c>
      <c r="D18" s="6">
        <f>IFERROR(MATCH(1,O23:O58,0),"Not in 36 months")</f>
        <v>7</v>
      </c>
    </row>
    <row r="19">
      <c r="A19" t="inlineStr">
        <is>
          <t>Cash first below £0 in month</t>
        </is>
      </c>
      <c r="B19" s="6">
        <f>IFERROR(MATCH(1,H23:H58,0),"Never")</f>
        <v>15</v>
      </c>
      <c r="C19" s="6" t="str">
        <f>Forecast!F46</f>
        <v>Never — cash stays above £0 in all 36 months</v>
      </c>
      <c r="D19" s="6" t="str">
        <f>IFERROR(MATCH(1,P23:P58,0),"Never")</f>
        <v>Never</v>
      </c>
    </row>
    <row r="21">
      <c r="B21" s="13" t="inlineStr">
        <is>
          <t>LOW PLAN — WORKINGS (do not type here)</t>
        </is>
      </c>
      <c r="J21" s="13" t="inlineStr">
        <is>
          <t>HIGH PLAN — WORKINGS (do not type here)</t>
        </is>
      </c>
    </row>
    <row r="22" ht="45" customHeight="1">
      <c r="B22" s="10" t="inlineStr">
        <is>
          <t>Month</t>
        </is>
      </c>
      <c r="C22" s="10" t="inlineStr">
        <is>
          <t>Revenue</t>
        </is>
      </c>
      <c r="D22" s="10" t="inlineStr">
        <is>
          <t>Profit / (loss)</t>
        </is>
      </c>
      <c r="E22" s="10" t="inlineStr">
        <is>
          <t>Closing cash</t>
        </is>
      </c>
      <c r="F22" s="10" t="inlineStr">
        <is>
          <t>Helper: profit floor</t>
        </is>
      </c>
      <c r="G22" s="10" t="inlineStr">
        <is>
          <t>Helper: break-even flag</t>
        </is>
      </c>
      <c r="H22" s="10" t="inlineStr">
        <is>
          <t>Helper: cash below £0</t>
        </is>
      </c>
      <c r="J22" s="10" t="inlineStr">
        <is>
          <t>Month</t>
        </is>
      </c>
      <c r="K22" s="10" t="inlineStr">
        <is>
          <t>Revenue</t>
        </is>
      </c>
      <c r="L22" s="10" t="inlineStr">
        <is>
          <t>Profit / (loss)</t>
        </is>
      </c>
      <c r="M22" s="10" t="inlineStr">
        <is>
          <t>Closing cash</t>
        </is>
      </c>
      <c r="N22" s="10" t="inlineStr">
        <is>
          <t>Helper: profit floor</t>
        </is>
      </c>
      <c r="O22" s="10" t="inlineStr">
        <is>
          <t>Helper: break-even flag</t>
        </is>
      </c>
      <c r="P22" s="10" t="inlineStr">
        <is>
          <t>Helper: cash below £0</t>
        </is>
      </c>
    </row>
    <row r="23">
      <c r="B23" t="n">
        <v>1</v>
      </c>
      <c r="C23" s="11">
        <f>Inputs!$B$7*(1+$B$7)</f>
        <v>2560</v>
      </c>
      <c r="D23" s="11">
        <f>C23-(Inputs!$B$11+IF($B23&gt;=Inputs!$B$13,Inputs!$B$12,0)+Inputs!$B$14+Inputs!$B$15+Inputs!$B$16+IF($B23=1,Inputs!$B$17,0))</f>
        <v>-5840</v>
      </c>
      <c r="E23" s="11">
        <f>Inputs!$B$5+Inputs!$B$6+D23</f>
        <v>27160</v>
      </c>
      <c r="F23" s="6">
        <f>MIN(D23,F24)</f>
        <v>-5840</v>
      </c>
      <c r="G23" s="6">
        <f>IF(AND(D23&gt;=0,F23&gt;=0),1,0)</f>
        <v>0</v>
      </c>
      <c r="H23" s="6">
        <f>IF(E23&lt;0,1,0)</f>
        <v>0</v>
      </c>
      <c r="J23" t="n">
        <v>1</v>
      </c>
      <c r="K23" s="11">
        <f>Inputs!$B$7*(1+$B$9)</f>
        <v>3840</v>
      </c>
      <c r="L23" s="11">
        <f>K23-(Inputs!$B$11+IF($J23&gt;=Inputs!$B$13,Inputs!$B$12,0)+Inputs!$B$14+Inputs!$B$15+Inputs!$B$16+IF($J23=1,Inputs!$B$17,0))</f>
        <v>-4560</v>
      </c>
      <c r="M23" s="11">
        <f>Inputs!$B$5+Inputs!$B$6+L23</f>
        <v>28440</v>
      </c>
      <c r="N23" s="6">
        <f>MIN(L23,N24)</f>
        <v>-4560</v>
      </c>
      <c r="O23" s="6">
        <f>IF(AND(L23&gt;=0,N23&gt;=0),1,0)</f>
        <v>0</v>
      </c>
      <c r="P23" s="6">
        <f>IF(M23&lt;0,1,0)</f>
        <v>0</v>
      </c>
    </row>
    <row r="24">
      <c r="B24" t="n">
        <v>2</v>
      </c>
      <c r="C24" s="11">
        <f>IF($B24&lt;=12,C23*(1+Inputs!$B$8+$B$8),C23*(1+Inputs!$B$9+$B$8))</f>
        <v>2662.4</v>
      </c>
      <c r="D24" s="11">
        <f>C24-(Inputs!$B$11+IF($B24&gt;=Inputs!$B$13,Inputs!$B$12,0)+Inputs!$B$14+Inputs!$B$15+Inputs!$B$16+IF($B24=1,Inputs!$B$17,0))</f>
        <v>-1237.6</v>
      </c>
      <c r="E24" s="11">
        <f>E23+D24</f>
        <v>25922.4</v>
      </c>
      <c r="F24" s="6">
        <f>MIN(D24,F25)</f>
        <v>-2820.34816</v>
      </c>
      <c r="G24" s="6">
        <f>IF(AND(D24&gt;=0,F24&gt;=0),1,0)</f>
        <v>0</v>
      </c>
      <c r="H24" s="6">
        <f>IF(E24&lt;0,1,0)</f>
        <v>0</v>
      </c>
      <c r="J24" t="n">
        <v>2</v>
      </c>
      <c r="K24" s="11">
        <f>IF($J24&lt;=12,K23*(1+Inputs!$B$8+$B$10),K23*(1+Inputs!$B$9+$B$10))</f>
        <v>4147.2</v>
      </c>
      <c r="L24" s="11">
        <f>K24-(Inputs!$B$11+IF($J24&gt;=Inputs!$B$13,Inputs!$B$12,0)+Inputs!$B$14+Inputs!$B$15+Inputs!$B$16+IF($J24=1,Inputs!$B$17,0))</f>
        <v>247.2</v>
      </c>
      <c r="M24" s="11">
        <f>M23+L24</f>
        <v>28687.2</v>
      </c>
      <c r="N24" s="6">
        <f>MIN(L24,N25)</f>
        <v>-862.70592</v>
      </c>
      <c r="O24" s="6">
        <f>IF(AND(L24&gt;=0,N24&gt;=0),1,0)</f>
        <v>0</v>
      </c>
      <c r="P24" s="6">
        <f>IF(M24&lt;0,1,0)</f>
        <v>0</v>
      </c>
    </row>
    <row r="25">
      <c r="B25" t="n">
        <v>3</v>
      </c>
      <c r="C25" s="11">
        <f>IF($B25&lt;=12,C24*(1+Inputs!$B$8+$B$8),C24*(1+Inputs!$B$9+$B$8))</f>
        <v>2768.896</v>
      </c>
      <c r="D25" s="11">
        <f>C25-(Inputs!$B$11+IF($B25&gt;=Inputs!$B$13,Inputs!$B$12,0)+Inputs!$B$14+Inputs!$B$15+Inputs!$B$16+IF($B25=1,Inputs!$B$17,0))</f>
        <v>-1131.104</v>
      </c>
      <c r="E25" s="11">
        <f>E24+D25</f>
        <v>24791.296</v>
      </c>
      <c r="F25" s="6">
        <f>MIN(D25,F26)</f>
        <v>-2820.34816</v>
      </c>
      <c r="G25" s="6">
        <f>IF(AND(D25&gt;=0,F25&gt;=0),1,0)</f>
        <v>0</v>
      </c>
      <c r="H25" s="6">
        <f>IF(E25&lt;0,1,0)</f>
        <v>0</v>
      </c>
      <c r="J25" t="n">
        <v>3</v>
      </c>
      <c r="K25" s="11">
        <f>IF($J25&lt;=12,K24*(1+Inputs!$B$8+$B$10),K24*(1+Inputs!$B$9+$B$10))</f>
        <v>4478.976</v>
      </c>
      <c r="L25" s="11">
        <f>K25-(Inputs!$B$11+IF($J25&gt;=Inputs!$B$13,Inputs!$B$12,0)+Inputs!$B$14+Inputs!$B$15+Inputs!$B$16+IF($J25=1,Inputs!$B$17,0))</f>
        <v>578.976</v>
      </c>
      <c r="M25" s="11">
        <f>M24+L25</f>
        <v>29266.176</v>
      </c>
      <c r="N25" s="6">
        <f>MIN(L25,N26)</f>
        <v>-862.70592</v>
      </c>
      <c r="O25" s="6">
        <f>IF(AND(L25&gt;=0,N25&gt;=0),1,0)</f>
        <v>0</v>
      </c>
      <c r="P25" s="6">
        <f>IF(M25&lt;0,1,0)</f>
        <v>0</v>
      </c>
    </row>
    <row r="26">
      <c r="B26" t="n">
        <v>4</v>
      </c>
      <c r="C26" s="11">
        <f>IF($B26&lt;=12,C25*(1+Inputs!$B$8+$B$8),C25*(1+Inputs!$B$9+$B$8))</f>
        <v>2879.65184</v>
      </c>
      <c r="D26" s="11">
        <f>C26-(Inputs!$B$11+IF($B26&gt;=Inputs!$B$13,Inputs!$B$12,0)+Inputs!$B$14+Inputs!$B$15+Inputs!$B$16+IF($B26=1,Inputs!$B$17,0))</f>
        <v>-2820.34816</v>
      </c>
      <c r="E26" s="11">
        <f>E25+D26</f>
        <v>21970.94784</v>
      </c>
      <c r="F26" s="6">
        <f>MIN(D26,F27)</f>
        <v>-2820.34816</v>
      </c>
      <c r="G26" s="6">
        <f>IF(AND(D26&gt;=0,F26&gt;=0),1,0)</f>
        <v>0</v>
      </c>
      <c r="H26" s="6">
        <f>IF(E26&lt;0,1,0)</f>
        <v>0</v>
      </c>
      <c r="J26" t="n">
        <v>4</v>
      </c>
      <c r="K26" s="11">
        <f>IF($J26&lt;=12,K25*(1+Inputs!$B$8+$B$10),K25*(1+Inputs!$B$9+$B$10))</f>
        <v>4837.29408</v>
      </c>
      <c r="L26" s="11">
        <f>K26-(Inputs!$B$11+IF($J26&gt;=Inputs!$B$13,Inputs!$B$12,0)+Inputs!$B$14+Inputs!$B$15+Inputs!$B$16+IF($J26=1,Inputs!$B$17,0))</f>
        <v>-862.70592</v>
      </c>
      <c r="M26" s="11">
        <f>M25+L26</f>
        <v>28403.47008</v>
      </c>
      <c r="N26" s="6">
        <f>MIN(L26,N27)</f>
        <v>-862.70592</v>
      </c>
      <c r="O26" s="6">
        <f>IF(AND(L26&gt;=0,N26&gt;=0),1,0)</f>
        <v>0</v>
      </c>
      <c r="P26" s="6">
        <f>IF(M26&lt;0,1,0)</f>
        <v>0</v>
      </c>
    </row>
    <row r="27">
      <c r="B27" t="n">
        <v>5</v>
      </c>
      <c r="C27" s="11">
        <f>IF($B27&lt;=12,C26*(1+Inputs!$B$8+$B$8),C26*(1+Inputs!$B$9+$B$8))</f>
        <v>2994.8379136</v>
      </c>
      <c r="D27" s="11">
        <f>C27-(Inputs!$B$11+IF($B27&gt;=Inputs!$B$13,Inputs!$B$12,0)+Inputs!$B$14+Inputs!$B$15+Inputs!$B$16+IF($B27=1,Inputs!$B$17,0))</f>
        <v>-2705.1620864</v>
      </c>
      <c r="E27" s="11">
        <f>E26+D27</f>
        <v>19265.7857536</v>
      </c>
      <c r="F27" s="6">
        <f>MIN(D27,F28)</f>
        <v>-2705.1620864</v>
      </c>
      <c r="G27" s="6">
        <f>IF(AND(D27&gt;=0,F27&gt;=0),1,0)</f>
        <v>0</v>
      </c>
      <c r="H27" s="6">
        <f>IF(E27&lt;0,1,0)</f>
        <v>0</v>
      </c>
      <c r="J27" t="n">
        <v>5</v>
      </c>
      <c r="K27" s="11">
        <f>IF($J27&lt;=12,K26*(1+Inputs!$B$8+$B$10),K26*(1+Inputs!$B$9+$B$10))</f>
        <v>5224.2776064</v>
      </c>
      <c r="L27" s="11">
        <f>K27-(Inputs!$B$11+IF($J27&gt;=Inputs!$B$13,Inputs!$B$12,0)+Inputs!$B$14+Inputs!$B$15+Inputs!$B$16+IF($J27=1,Inputs!$B$17,0))</f>
        <v>-475.7223936</v>
      </c>
      <c r="M27" s="11">
        <f>M26+L27</f>
        <v>27927.7476864</v>
      </c>
      <c r="N27" s="6">
        <f>MIN(L27,N28)</f>
        <v>-475.7223936</v>
      </c>
      <c r="O27" s="6">
        <f>IF(AND(L27&gt;=0,N27&gt;=0),1,0)</f>
        <v>0</v>
      </c>
      <c r="P27" s="6">
        <f>IF(M27&lt;0,1,0)</f>
        <v>0</v>
      </c>
    </row>
    <row r="28">
      <c r="B28" t="n">
        <v>6</v>
      </c>
      <c r="C28" s="11">
        <f>IF($B28&lt;=12,C27*(1+Inputs!$B$8+$B$8),C27*(1+Inputs!$B$9+$B$8))</f>
        <v>3114.631430144</v>
      </c>
      <c r="D28" s="11">
        <f>C28-(Inputs!$B$11+IF($B28&gt;=Inputs!$B$13,Inputs!$B$12,0)+Inputs!$B$14+Inputs!$B$15+Inputs!$B$16+IF($B28=1,Inputs!$B$17,0))</f>
        <v>-2585.368569856</v>
      </c>
      <c r="E28" s="11">
        <f>E27+D28</f>
        <v>16680.417183744</v>
      </c>
      <c r="F28" s="6">
        <f>MIN(D28,F29)</f>
        <v>-2585.368569856</v>
      </c>
      <c r="G28" s="6">
        <f>IF(AND(D28&gt;=0,F28&gt;=0),1,0)</f>
        <v>0</v>
      </c>
      <c r="H28" s="6">
        <f>IF(E28&lt;0,1,0)</f>
        <v>0</v>
      </c>
      <c r="J28" t="n">
        <v>6</v>
      </c>
      <c r="K28" s="11">
        <f>IF($J28&lt;=12,K27*(1+Inputs!$B$8+$B$10),K27*(1+Inputs!$B$9+$B$10))</f>
        <v>5642.219814912</v>
      </c>
      <c r="L28" s="11">
        <f>K28-(Inputs!$B$11+IF($J28&gt;=Inputs!$B$13,Inputs!$B$12,0)+Inputs!$B$14+Inputs!$B$15+Inputs!$B$16+IF($J28=1,Inputs!$B$17,0))</f>
        <v>-57.780185088</v>
      </c>
      <c r="M28" s="11">
        <f>M27+L28</f>
        <v>27869.967501312</v>
      </c>
      <c r="N28" s="6">
        <f>MIN(L28,N29)</f>
        <v>-57.780185088</v>
      </c>
      <c r="O28" s="6">
        <f>IF(AND(L28&gt;=0,N28&gt;=0),1,0)</f>
        <v>0</v>
      </c>
      <c r="P28" s="6">
        <f>IF(M28&lt;0,1,0)</f>
        <v>0</v>
      </c>
    </row>
    <row r="29">
      <c r="B29" t="n">
        <v>7</v>
      </c>
      <c r="C29" s="11">
        <f>IF($B29&lt;=12,C28*(1+Inputs!$B$8+$B$8),C28*(1+Inputs!$B$9+$B$8))</f>
        <v>3239.2166873498</v>
      </c>
      <c r="D29" s="11">
        <f>C29-(Inputs!$B$11+IF($B29&gt;=Inputs!$B$13,Inputs!$B$12,0)+Inputs!$B$14+Inputs!$B$15+Inputs!$B$16+IF($B29=1,Inputs!$B$17,0))</f>
        <v>-2460.7833126502</v>
      </c>
      <c r="E29" s="11">
        <f>E28+D29</f>
        <v>14219.6338710938</v>
      </c>
      <c r="F29" s="6">
        <f>MIN(D29,F30)</f>
        <v>-2460.7833126502</v>
      </c>
      <c r="G29" s="6">
        <f>IF(AND(D29&gt;=0,F29&gt;=0),1,0)</f>
        <v>0</v>
      </c>
      <c r="H29" s="6">
        <f>IF(E29&lt;0,1,0)</f>
        <v>0</v>
      </c>
      <c r="J29" t="n">
        <v>7</v>
      </c>
      <c r="K29" s="11">
        <f>IF($J29&lt;=12,K28*(1+Inputs!$B$8+$B$10),K28*(1+Inputs!$B$9+$B$10))</f>
        <v>6093.597400105</v>
      </c>
      <c r="L29" s="11">
        <f>K29-(Inputs!$B$11+IF($J29&gt;=Inputs!$B$13,Inputs!$B$12,0)+Inputs!$B$14+Inputs!$B$15+Inputs!$B$16+IF($J29=1,Inputs!$B$17,0))</f>
        <v>393.597400105</v>
      </c>
      <c r="M29" s="11">
        <f>M28+L29</f>
        <v>28263.564901417</v>
      </c>
      <c r="N29" s="6">
        <f>MIN(L29,N30)</f>
        <v>393.597400105</v>
      </c>
      <c r="O29" s="6">
        <f>IF(AND(L29&gt;=0,N29&gt;=0),1,0)</f>
        <v>1</v>
      </c>
      <c r="P29" s="6">
        <f>IF(M29&lt;0,1,0)</f>
        <v>0</v>
      </c>
    </row>
    <row r="30">
      <c r="B30" t="n">
        <v>8</v>
      </c>
      <c r="C30" s="11">
        <f>IF($B30&lt;=12,C29*(1+Inputs!$B$8+$B$8),C29*(1+Inputs!$B$9+$B$8))</f>
        <v>3368.7853548438</v>
      </c>
      <c r="D30" s="11">
        <f>C30-(Inputs!$B$11+IF($B30&gt;=Inputs!$B$13,Inputs!$B$12,0)+Inputs!$B$14+Inputs!$B$15+Inputs!$B$16+IF($B30=1,Inputs!$B$17,0))</f>
        <v>-2331.2146451562</v>
      </c>
      <c r="E30" s="11">
        <f>E29+D30</f>
        <v>11888.4192259375</v>
      </c>
      <c r="F30" s="6">
        <f>MIN(D30,F31)</f>
        <v>-2331.2146451562</v>
      </c>
      <c r="G30" s="6">
        <f>IF(AND(D30&gt;=0,F30&gt;=0),1,0)</f>
        <v>0</v>
      </c>
      <c r="H30" s="6">
        <f>IF(E30&lt;0,1,0)</f>
        <v>0</v>
      </c>
      <c r="J30" t="n">
        <v>8</v>
      </c>
      <c r="K30" s="11">
        <f>IF($J30&lt;=12,K29*(1+Inputs!$B$8+$B$10),K29*(1+Inputs!$B$9+$B$10))</f>
        <v>6581.0851921134</v>
      </c>
      <c r="L30" s="11">
        <f>K30-(Inputs!$B$11+IF($J30&gt;=Inputs!$B$13,Inputs!$B$12,0)+Inputs!$B$14+Inputs!$B$15+Inputs!$B$16+IF($J30=1,Inputs!$B$17,0))</f>
        <v>881.0851921134</v>
      </c>
      <c r="M30" s="11">
        <f>M29+L30</f>
        <v>29144.6500935303</v>
      </c>
      <c r="N30" s="6">
        <f>MIN(L30,N31)</f>
        <v>881.0851921134</v>
      </c>
      <c r="O30" s="6">
        <f>IF(AND(L30&gt;=0,N30&gt;=0),1,0)</f>
        <v>1</v>
      </c>
      <c r="P30" s="6">
        <f>IF(M30&lt;0,1,0)</f>
        <v>0</v>
      </c>
    </row>
    <row r="31">
      <c r="B31" t="n">
        <v>9</v>
      </c>
      <c r="C31" s="11">
        <f>IF($B31&lt;=12,C30*(1+Inputs!$B$8+$B$8),C30*(1+Inputs!$B$9+$B$8))</f>
        <v>3503.5367690375</v>
      </c>
      <c r="D31" s="11">
        <f>C31-(Inputs!$B$11+IF($B31&gt;=Inputs!$B$13,Inputs!$B$12,0)+Inputs!$B$14+Inputs!$B$15+Inputs!$B$16+IF($B31=1,Inputs!$B$17,0))</f>
        <v>-2196.4632309625</v>
      </c>
      <c r="E31" s="11">
        <f>E30+D31</f>
        <v>9691.955994975</v>
      </c>
      <c r="F31" s="6">
        <f>MIN(D31,F32)</f>
        <v>-2196.4632309625</v>
      </c>
      <c r="G31" s="6">
        <f>IF(AND(D31&gt;=0,F31&gt;=0),1,0)</f>
        <v>0</v>
      </c>
      <c r="H31" s="6">
        <f>IF(E31&lt;0,1,0)</f>
        <v>0</v>
      </c>
      <c r="J31" t="n">
        <v>9</v>
      </c>
      <c r="K31" s="11">
        <f>IF($J31&lt;=12,K30*(1+Inputs!$B$8+$B$10),K30*(1+Inputs!$B$9+$B$10))</f>
        <v>7107.5720074824</v>
      </c>
      <c r="L31" s="11">
        <f>K31-(Inputs!$B$11+IF($J31&gt;=Inputs!$B$13,Inputs!$B$12,0)+Inputs!$B$14+Inputs!$B$15+Inputs!$B$16+IF($J31=1,Inputs!$B$17,0))</f>
        <v>1407.5720074824</v>
      </c>
      <c r="M31" s="11">
        <f>M30+L31</f>
        <v>30552.2221010128</v>
      </c>
      <c r="N31" s="6">
        <f>MIN(L31,N32)</f>
        <v>1407.5720074824</v>
      </c>
      <c r="O31" s="6">
        <f>IF(AND(L31&gt;=0,N31&gt;=0),1,0)</f>
        <v>1</v>
      </c>
      <c r="P31" s="6">
        <f>IF(M31&lt;0,1,0)</f>
        <v>0</v>
      </c>
    </row>
    <row r="32">
      <c r="B32" t="n">
        <v>10</v>
      </c>
      <c r="C32" s="11">
        <f>IF($B32&lt;=12,C31*(1+Inputs!$B$8+$B$8),C31*(1+Inputs!$B$9+$B$8))</f>
        <v>3643.678239799</v>
      </c>
      <c r="D32" s="11">
        <f>C32-(Inputs!$B$11+IF($B32&gt;=Inputs!$B$13,Inputs!$B$12,0)+Inputs!$B$14+Inputs!$B$15+Inputs!$B$16+IF($B32=1,Inputs!$B$17,0))</f>
        <v>-2056.321760201</v>
      </c>
      <c r="E32" s="11">
        <f>E31+D32</f>
        <v>7635.634234774</v>
      </c>
      <c r="F32" s="6">
        <f>MIN(D32,F33)</f>
        <v>-2056.321760201</v>
      </c>
      <c r="G32" s="6">
        <f>IF(AND(D32&gt;=0,F32&gt;=0),1,0)</f>
        <v>0</v>
      </c>
      <c r="H32" s="6">
        <f>IF(E32&lt;0,1,0)</f>
        <v>0</v>
      </c>
      <c r="J32" t="n">
        <v>10</v>
      </c>
      <c r="K32" s="11">
        <f>IF($J32&lt;=12,K31*(1+Inputs!$B$8+$B$10),K31*(1+Inputs!$B$9+$B$10))</f>
        <v>7676.177768081</v>
      </c>
      <c r="L32" s="11">
        <f>K32-(Inputs!$B$11+IF($J32&gt;=Inputs!$B$13,Inputs!$B$12,0)+Inputs!$B$14+Inputs!$B$15+Inputs!$B$16+IF($J32=1,Inputs!$B$17,0))</f>
        <v>1976.177768081</v>
      </c>
      <c r="M32" s="11">
        <f>M31+L32</f>
        <v>32528.3998690938</v>
      </c>
      <c r="N32" s="6">
        <f>MIN(L32,N33)</f>
        <v>1976.177768081</v>
      </c>
      <c r="O32" s="6">
        <f>IF(AND(L32&gt;=0,N32&gt;=0),1,0)</f>
        <v>1</v>
      </c>
      <c r="P32" s="6">
        <f>IF(M32&lt;0,1,0)</f>
        <v>0</v>
      </c>
    </row>
    <row r="33">
      <c r="B33" t="n">
        <v>11</v>
      </c>
      <c r="C33" s="11">
        <f>IF($B33&lt;=12,C32*(1+Inputs!$B$8+$B$8),C32*(1+Inputs!$B$9+$B$8))</f>
        <v>3789.425369391</v>
      </c>
      <c r="D33" s="11">
        <f>C33-(Inputs!$B$11+IF($B33&gt;=Inputs!$B$13,Inputs!$B$12,0)+Inputs!$B$14+Inputs!$B$15+Inputs!$B$16+IF($B33=1,Inputs!$B$17,0))</f>
        <v>-1910.574630609</v>
      </c>
      <c r="E33" s="11">
        <f>E32+D33</f>
        <v>5725.059604165</v>
      </c>
      <c r="F33" s="6">
        <f>MIN(D33,F34)</f>
        <v>-1910.574630609</v>
      </c>
      <c r="G33" s="6">
        <f>IF(AND(D33&gt;=0,F33&gt;=0),1,0)</f>
        <v>0</v>
      </c>
      <c r="H33" s="6">
        <f>IF(E33&lt;0,1,0)</f>
        <v>0</v>
      </c>
      <c r="J33" t="n">
        <v>11</v>
      </c>
      <c r="K33" s="11">
        <f>IF($J33&lt;=12,K32*(1+Inputs!$B$8+$B$10),K32*(1+Inputs!$B$9+$B$10))</f>
        <v>8290.2719895275</v>
      </c>
      <c r="L33" s="11">
        <f>K33-(Inputs!$B$11+IF($J33&gt;=Inputs!$B$13,Inputs!$B$12,0)+Inputs!$B$14+Inputs!$B$15+Inputs!$B$16+IF($J33=1,Inputs!$B$17,0))</f>
        <v>2590.2719895275</v>
      </c>
      <c r="M33" s="11">
        <f>M32+L33</f>
        <v>35118.6718586213</v>
      </c>
      <c r="N33" s="6">
        <f>MIN(L33,N34)</f>
        <v>2590.2719895275</v>
      </c>
      <c r="O33" s="6">
        <f>IF(AND(L33&gt;=0,N33&gt;=0),1,0)</f>
        <v>1</v>
      </c>
      <c r="P33" s="6">
        <f>IF(M33&lt;0,1,0)</f>
        <v>0</v>
      </c>
    </row>
    <row r="34">
      <c r="B34" t="n">
        <v>12</v>
      </c>
      <c r="C34" s="11">
        <f>IF($B34&lt;=12,C33*(1+Inputs!$B$8+$B$8),C33*(1+Inputs!$B$9+$B$8))</f>
        <v>3941.0023841666</v>
      </c>
      <c r="D34" s="11">
        <f>C34-(Inputs!$B$11+IF($B34&gt;=Inputs!$B$13,Inputs!$B$12,0)+Inputs!$B$14+Inputs!$B$15+Inputs!$B$16+IF($B34=1,Inputs!$B$17,0))</f>
        <v>-1758.9976158334</v>
      </c>
      <c r="E34" s="11">
        <f>E33+D34</f>
        <v>3966.0619883316</v>
      </c>
      <c r="F34" s="6">
        <f>MIN(D34,F35)</f>
        <v>-1758.9976158334</v>
      </c>
      <c r="G34" s="6">
        <f>IF(AND(D34&gt;=0,F34&gt;=0),1,0)</f>
        <v>0</v>
      </c>
      <c r="H34" s="6">
        <f>IF(E34&lt;0,1,0)</f>
        <v>0</v>
      </c>
      <c r="J34" t="n">
        <v>12</v>
      </c>
      <c r="K34" s="11">
        <f>IF($J34&lt;=12,K33*(1+Inputs!$B$8+$B$10),K33*(1+Inputs!$B$9+$B$10))</f>
        <v>8953.4937486897</v>
      </c>
      <c r="L34" s="11">
        <f>K34-(Inputs!$B$11+IF($J34&gt;=Inputs!$B$13,Inputs!$B$12,0)+Inputs!$B$14+Inputs!$B$15+Inputs!$B$16+IF($J34=1,Inputs!$B$17,0))</f>
        <v>3253.4937486897</v>
      </c>
      <c r="M34" s="11">
        <f>M33+L34</f>
        <v>38372.165607311</v>
      </c>
      <c r="N34" s="6">
        <f>MIN(L34,N35)</f>
        <v>3253.4937486897</v>
      </c>
      <c r="O34" s="6">
        <f>IF(AND(L34&gt;=0,N34&gt;=0),1,0)</f>
        <v>1</v>
      </c>
      <c r="P34" s="6">
        <f>IF(M34&lt;0,1,0)</f>
        <v>0</v>
      </c>
    </row>
    <row r="35">
      <c r="B35" t="n">
        <v>13</v>
      </c>
      <c r="C35" s="11">
        <f>IF($B35&lt;=12,C34*(1+Inputs!$B$8+$B$8),C34*(1+Inputs!$B$9+$B$8))</f>
        <v>3980.4124080083</v>
      </c>
      <c r="D35" s="11">
        <f>C35-(Inputs!$B$11+IF($B35&gt;=Inputs!$B$13,Inputs!$B$12,0)+Inputs!$B$14+Inputs!$B$15+Inputs!$B$16+IF($B35=1,Inputs!$B$17,0))</f>
        <v>-1719.5875919917</v>
      </c>
      <c r="E35" s="11">
        <f>E34+D35</f>
        <v>2246.4743963399</v>
      </c>
      <c r="F35" s="6">
        <f>MIN(D35,F36)</f>
        <v>-1719.5875919917</v>
      </c>
      <c r="G35" s="6">
        <f>IF(AND(D35&gt;=0,F35&gt;=0),1,0)</f>
        <v>0</v>
      </c>
      <c r="H35" s="6">
        <f>IF(E35&lt;0,1,0)</f>
        <v>0</v>
      </c>
      <c r="J35" t="n">
        <v>13</v>
      </c>
      <c r="K35" s="11">
        <f>IF($J35&lt;=12,K34*(1+Inputs!$B$8+$B$10),K34*(1+Inputs!$B$9+$B$10))</f>
        <v>9401.1684361242</v>
      </c>
      <c r="L35" s="11">
        <f>K35-(Inputs!$B$11+IF($J35&gt;=Inputs!$B$13,Inputs!$B$12,0)+Inputs!$B$14+Inputs!$B$15+Inputs!$B$16+IF($J35=1,Inputs!$B$17,0))</f>
        <v>3701.1684361242</v>
      </c>
      <c r="M35" s="11">
        <f>M34+L35</f>
        <v>42073.3340434352</v>
      </c>
      <c r="N35" s="6">
        <f>MIN(L35,N36)</f>
        <v>3701.1684361242</v>
      </c>
      <c r="O35" s="6">
        <f>IF(AND(L35&gt;=0,N35&gt;=0),1,0)</f>
        <v>1</v>
      </c>
      <c r="P35" s="6">
        <f>IF(M35&lt;0,1,0)</f>
        <v>0</v>
      </c>
    </row>
    <row r="36">
      <c r="B36" t="n">
        <v>14</v>
      </c>
      <c r="C36" s="11">
        <f>IF($B36&lt;=12,C35*(1+Inputs!$B$8+$B$8),C35*(1+Inputs!$B$9+$B$8))</f>
        <v>4020.2165320884</v>
      </c>
      <c r="D36" s="11">
        <f>C36-(Inputs!$B$11+IF($B36&gt;=Inputs!$B$13,Inputs!$B$12,0)+Inputs!$B$14+Inputs!$B$15+Inputs!$B$16+IF($B36=1,Inputs!$B$17,0))</f>
        <v>-1679.7834679116</v>
      </c>
      <c r="E36" s="11">
        <f>E35+D36</f>
        <v>566.6909284282</v>
      </c>
      <c r="F36" s="6">
        <f>MIN(D36,F37)</f>
        <v>-1679.7834679116</v>
      </c>
      <c r="G36" s="6">
        <f>IF(AND(D36&gt;=0,F36&gt;=0),1,0)</f>
        <v>0</v>
      </c>
      <c r="H36" s="6">
        <f>IF(E36&lt;0,1,0)</f>
        <v>0</v>
      </c>
      <c r="J36" t="n">
        <v>14</v>
      </c>
      <c r="K36" s="11">
        <f>IF($J36&lt;=12,K35*(1+Inputs!$B$8+$B$10),K35*(1+Inputs!$B$9+$B$10))</f>
        <v>9871.2268579304</v>
      </c>
      <c r="L36" s="11">
        <f>K36-(Inputs!$B$11+IF($J36&gt;=Inputs!$B$13,Inputs!$B$12,0)+Inputs!$B$14+Inputs!$B$15+Inputs!$B$16+IF($J36=1,Inputs!$B$17,0))</f>
        <v>4171.2268579304</v>
      </c>
      <c r="M36" s="11">
        <f>M35+L36</f>
        <v>46244.5609013656</v>
      </c>
      <c r="N36" s="6">
        <f>MIN(L36,N37)</f>
        <v>4171.2268579304</v>
      </c>
      <c r="O36" s="6">
        <f>IF(AND(L36&gt;=0,N36&gt;=0),1,0)</f>
        <v>1</v>
      </c>
      <c r="P36" s="6">
        <f>IF(M36&lt;0,1,0)</f>
        <v>0</v>
      </c>
    </row>
    <row r="37">
      <c r="B37" t="n">
        <v>15</v>
      </c>
      <c r="C37" s="11">
        <f>IF($B37&lt;=12,C36*(1+Inputs!$B$8+$B$8),C36*(1+Inputs!$B$9+$B$8))</f>
        <v>4060.4186974092</v>
      </c>
      <c r="D37" s="11">
        <f>C37-(Inputs!$B$11+IF($B37&gt;=Inputs!$B$13,Inputs!$B$12,0)+Inputs!$B$14+Inputs!$B$15+Inputs!$B$16+IF($B37=1,Inputs!$B$17,0))</f>
        <v>-1639.5813025908</v>
      </c>
      <c r="E37" s="11">
        <f>E36+D37</f>
        <v>-1072.8903741626</v>
      </c>
      <c r="F37" s="6">
        <f>MIN(D37,F38)</f>
        <v>-1639.5813025908</v>
      </c>
      <c r="G37" s="6">
        <f>IF(AND(D37&gt;=0,F37&gt;=0),1,0)</f>
        <v>0</v>
      </c>
      <c r="H37" s="6">
        <f>IF(E37&lt;0,1,0)</f>
        <v>1</v>
      </c>
      <c r="J37" t="n">
        <v>15</v>
      </c>
      <c r="K37" s="11">
        <f>IF($J37&lt;=12,K36*(1+Inputs!$B$8+$B$10),K36*(1+Inputs!$B$9+$B$10))</f>
        <v>10364.7882008269</v>
      </c>
      <c r="L37" s="11">
        <f>K37-(Inputs!$B$11+IF($J37&gt;=Inputs!$B$13,Inputs!$B$12,0)+Inputs!$B$14+Inputs!$B$15+Inputs!$B$16+IF($J37=1,Inputs!$B$17,0))</f>
        <v>4664.7882008269</v>
      </c>
      <c r="M37" s="11">
        <f>M36+L37</f>
        <v>50909.3491021925</v>
      </c>
      <c r="N37" s="6">
        <f>MIN(L37,N38)</f>
        <v>4664.7882008269</v>
      </c>
      <c r="O37" s="6">
        <f>IF(AND(L37&gt;=0,N37&gt;=0),1,0)</f>
        <v>1</v>
      </c>
      <c r="P37" s="6">
        <f>IF(M37&lt;0,1,0)</f>
        <v>0</v>
      </c>
    </row>
    <row r="38">
      <c r="B38" t="n">
        <v>16</v>
      </c>
      <c r="C38" s="11">
        <f>IF($B38&lt;=12,C37*(1+Inputs!$B$8+$B$8),C37*(1+Inputs!$B$9+$B$8))</f>
        <v>4101.0228843833</v>
      </c>
      <c r="D38" s="11">
        <f>C38-(Inputs!$B$11+IF($B38&gt;=Inputs!$B$13,Inputs!$B$12,0)+Inputs!$B$14+Inputs!$B$15+Inputs!$B$16+IF($B38=1,Inputs!$B$17,0))</f>
        <v>-1598.9771156167</v>
      </c>
      <c r="E38" s="11">
        <f>E37+D38</f>
        <v>-2671.8674897792</v>
      </c>
      <c r="F38" s="6">
        <f>MIN(D38,F39)</f>
        <v>-1598.9771156167</v>
      </c>
      <c r="G38" s="6">
        <f>IF(AND(D38&gt;=0,F38&gt;=0),1,0)</f>
        <v>0</v>
      </c>
      <c r="H38" s="6">
        <f>IF(E38&lt;0,1,0)</f>
        <v>1</v>
      </c>
      <c r="J38" t="n">
        <v>16</v>
      </c>
      <c r="K38" s="11">
        <f>IF($J38&lt;=12,K37*(1+Inputs!$B$8+$B$10),K37*(1+Inputs!$B$9+$B$10))</f>
        <v>10883.0276108683</v>
      </c>
      <c r="L38" s="11">
        <f>K38-(Inputs!$B$11+IF($J38&gt;=Inputs!$B$13,Inputs!$B$12,0)+Inputs!$B$14+Inputs!$B$15+Inputs!$B$16+IF($J38=1,Inputs!$B$17,0))</f>
        <v>5183.0276108683</v>
      </c>
      <c r="M38" s="11">
        <f>M37+L38</f>
        <v>56092.3767130608</v>
      </c>
      <c r="N38" s="6">
        <f>MIN(L38,N39)</f>
        <v>5183.0276108683</v>
      </c>
      <c r="O38" s="6">
        <f>IF(AND(L38&gt;=0,N38&gt;=0),1,0)</f>
        <v>1</v>
      </c>
      <c r="P38" s="6">
        <f>IF(M38&lt;0,1,0)</f>
        <v>0</v>
      </c>
    </row>
    <row r="39">
      <c r="B39" t="n">
        <v>17</v>
      </c>
      <c r="C39" s="11">
        <f>IF($B39&lt;=12,C38*(1+Inputs!$B$8+$B$8),C38*(1+Inputs!$B$9+$B$8))</f>
        <v>4142.0331132272</v>
      </c>
      <c r="D39" s="11">
        <f>C39-(Inputs!$B$11+IF($B39&gt;=Inputs!$B$13,Inputs!$B$12,0)+Inputs!$B$14+Inputs!$B$15+Inputs!$B$16+IF($B39=1,Inputs!$B$17,0))</f>
        <v>-1557.9668867728</v>
      </c>
      <c r="E39" s="11">
        <f>E38+D39</f>
        <v>-4229.8343765521</v>
      </c>
      <c r="F39" s="6">
        <f>MIN(D39,F40)</f>
        <v>-1557.9668867728</v>
      </c>
      <c r="G39" s="6">
        <f>IF(AND(D39&gt;=0,F39&gt;=0),1,0)</f>
        <v>0</v>
      </c>
      <c r="H39" s="6">
        <f>IF(E39&lt;0,1,0)</f>
        <v>1</v>
      </c>
      <c r="J39" t="n">
        <v>17</v>
      </c>
      <c r="K39" s="11">
        <f>IF($J39&lt;=12,K38*(1+Inputs!$B$8+$B$10),K38*(1+Inputs!$B$9+$B$10))</f>
        <v>11427.1789914117</v>
      </c>
      <c r="L39" s="11">
        <f>K39-(Inputs!$B$11+IF($J39&gt;=Inputs!$B$13,Inputs!$B$12,0)+Inputs!$B$14+Inputs!$B$15+Inputs!$B$16+IF($J39=1,Inputs!$B$17,0))</f>
        <v>5727.1789914117</v>
      </c>
      <c r="M39" s="11">
        <f>M38+L39</f>
        <v>61819.5557044725</v>
      </c>
      <c r="N39" s="6">
        <f>MIN(L39,N40)</f>
        <v>5727.1789914117</v>
      </c>
      <c r="O39" s="6">
        <f>IF(AND(L39&gt;=0,N39&gt;=0),1,0)</f>
        <v>1</v>
      </c>
      <c r="P39" s="6">
        <f>IF(M39&lt;0,1,0)</f>
        <v>0</v>
      </c>
    </row>
    <row r="40">
      <c r="B40" t="n">
        <v>18</v>
      </c>
      <c r="C40" s="11">
        <f>IF($B40&lt;=12,C39*(1+Inputs!$B$8+$B$8),C39*(1+Inputs!$B$9+$B$8))</f>
        <v>4183.4534443594</v>
      </c>
      <c r="D40" s="11">
        <f>C40-(Inputs!$B$11+IF($B40&gt;=Inputs!$B$13,Inputs!$B$12,0)+Inputs!$B$14+Inputs!$B$15+Inputs!$B$16+IF($B40=1,Inputs!$B$17,0))</f>
        <v>-1516.5465556406</v>
      </c>
      <c r="E40" s="11">
        <f>E39+D40</f>
        <v>-5746.3809321926</v>
      </c>
      <c r="F40" s="6">
        <f>MIN(D40,F41)</f>
        <v>-1516.5465556406</v>
      </c>
      <c r="G40" s="6">
        <f>IF(AND(D40&gt;=0,F40&gt;=0),1,0)</f>
        <v>0</v>
      </c>
      <c r="H40" s="6">
        <f>IF(E40&lt;0,1,0)</f>
        <v>1</v>
      </c>
      <c r="J40" t="n">
        <v>18</v>
      </c>
      <c r="K40" s="11">
        <f>IF($J40&lt;=12,K39*(1+Inputs!$B$8+$B$10),K39*(1+Inputs!$B$9+$B$10))</f>
        <v>11998.5379409823</v>
      </c>
      <c r="L40" s="11">
        <f>K40-(Inputs!$B$11+IF($J40&gt;=Inputs!$B$13,Inputs!$B$12,0)+Inputs!$B$14+Inputs!$B$15+Inputs!$B$16+IF($J40=1,Inputs!$B$17,0))</f>
        <v>6298.5379409823</v>
      </c>
      <c r="M40" s="11">
        <f>M39+L40</f>
        <v>68118.0936454548</v>
      </c>
      <c r="N40" s="6">
        <f>MIN(L40,N41)</f>
        <v>6298.5379409823</v>
      </c>
      <c r="O40" s="6">
        <f>IF(AND(L40&gt;=0,N40&gt;=0),1,0)</f>
        <v>1</v>
      </c>
      <c r="P40" s="6">
        <f>IF(M40&lt;0,1,0)</f>
        <v>0</v>
      </c>
    </row>
    <row r="41">
      <c r="B41" t="n">
        <v>19</v>
      </c>
      <c r="C41" s="11">
        <f>IF($B41&lt;=12,C40*(1+Inputs!$B$8+$B$8),C40*(1+Inputs!$B$9+$B$8))</f>
        <v>4225.287978803</v>
      </c>
      <c r="D41" s="11">
        <f>C41-(Inputs!$B$11+IF($B41&gt;=Inputs!$B$13,Inputs!$B$12,0)+Inputs!$B$14+Inputs!$B$15+Inputs!$B$16+IF($B41=1,Inputs!$B$17,0))</f>
        <v>-1474.712021197</v>
      </c>
      <c r="E41" s="11">
        <f>E40+D41</f>
        <v>-7221.0929533896</v>
      </c>
      <c r="F41" s="6">
        <f>MIN(D41,F42)</f>
        <v>-1474.712021197</v>
      </c>
      <c r="G41" s="6">
        <f>IF(AND(D41&gt;=0,F41&gt;=0),1,0)</f>
        <v>0</v>
      </c>
      <c r="H41" s="6">
        <f>IF(E41&lt;0,1,0)</f>
        <v>1</v>
      </c>
      <c r="J41" t="n">
        <v>19</v>
      </c>
      <c r="K41" s="11">
        <f>IF($J41&lt;=12,K40*(1+Inputs!$B$8+$B$10),K40*(1+Inputs!$B$9+$B$10))</f>
        <v>12598.4648380314</v>
      </c>
      <c r="L41" s="11">
        <f>K41-(Inputs!$B$11+IF($J41&gt;=Inputs!$B$13,Inputs!$B$12,0)+Inputs!$B$14+Inputs!$B$15+Inputs!$B$16+IF($J41=1,Inputs!$B$17,0))</f>
        <v>6898.4648380314</v>
      </c>
      <c r="M41" s="11">
        <f>M40+L41</f>
        <v>75016.5584834862</v>
      </c>
      <c r="N41" s="6">
        <f>MIN(L41,N42)</f>
        <v>6898.4648380314</v>
      </c>
      <c r="O41" s="6">
        <f>IF(AND(L41&gt;=0,N41&gt;=0),1,0)</f>
        <v>1</v>
      </c>
      <c r="P41" s="6">
        <f>IF(M41&lt;0,1,0)</f>
        <v>0</v>
      </c>
    </row>
    <row r="42">
      <c r="B42" t="n">
        <v>20</v>
      </c>
      <c r="C42" s="11">
        <f>IF($B42&lt;=12,C41*(1+Inputs!$B$8+$B$8),C41*(1+Inputs!$B$9+$B$8))</f>
        <v>4267.5408585911</v>
      </c>
      <c r="D42" s="11">
        <f>C42-(Inputs!$B$11+IF($B42&gt;=Inputs!$B$13,Inputs!$B$12,0)+Inputs!$B$14+Inputs!$B$15+Inputs!$B$16+IF($B42=1,Inputs!$B$17,0))</f>
        <v>-1432.4591414089</v>
      </c>
      <c r="E42" s="11">
        <f>E41+D42</f>
        <v>-8653.5520947986</v>
      </c>
      <c r="F42" s="6">
        <f>MIN(D42,F43)</f>
        <v>-1432.4591414089</v>
      </c>
      <c r="G42" s="6">
        <f>IF(AND(D42&gt;=0,F42&gt;=0),1,0)</f>
        <v>0</v>
      </c>
      <c r="H42" s="6">
        <f>IF(E42&lt;0,1,0)</f>
        <v>1</v>
      </c>
      <c r="J42" t="n">
        <v>20</v>
      </c>
      <c r="K42" s="11">
        <f>IF($J42&lt;=12,K41*(1+Inputs!$B$8+$B$10),K41*(1+Inputs!$B$9+$B$10))</f>
        <v>13228.388079933</v>
      </c>
      <c r="L42" s="11">
        <f>K42-(Inputs!$B$11+IF($J42&gt;=Inputs!$B$13,Inputs!$B$12,0)+Inputs!$B$14+Inputs!$B$15+Inputs!$B$16+IF($J42=1,Inputs!$B$17,0))</f>
        <v>7528.388079933</v>
      </c>
      <c r="M42" s="11">
        <f>M41+L42</f>
        <v>82544.9465634191</v>
      </c>
      <c r="N42" s="6">
        <f>MIN(L42,N43)</f>
        <v>7528.388079933</v>
      </c>
      <c r="O42" s="6">
        <f>IF(AND(L42&gt;=0,N42&gt;=0),1,0)</f>
        <v>1</v>
      </c>
      <c r="P42" s="6">
        <f>IF(M42&lt;0,1,0)</f>
        <v>0</v>
      </c>
    </row>
    <row r="43">
      <c r="B43" t="n">
        <v>21</v>
      </c>
      <c r="C43" s="11">
        <f>IF($B43&lt;=12,C42*(1+Inputs!$B$8+$B$8),C42*(1+Inputs!$B$9+$B$8))</f>
        <v>4310.216267177</v>
      </c>
      <c r="D43" s="11">
        <f>C43-(Inputs!$B$11+IF($B43&gt;=Inputs!$B$13,Inputs!$B$12,0)+Inputs!$B$14+Inputs!$B$15+Inputs!$B$16+IF($B43=1,Inputs!$B$17,0))</f>
        <v>-1389.783732823</v>
      </c>
      <c r="E43" s="11">
        <f>E42+D43</f>
        <v>-10043.3358276216</v>
      </c>
      <c r="F43" s="6">
        <f>MIN(D43,F44)</f>
        <v>-1389.783732823</v>
      </c>
      <c r="G43" s="6">
        <f>IF(AND(D43&gt;=0,F43&gt;=0),1,0)</f>
        <v>0</v>
      </c>
      <c r="H43" s="6">
        <f>IF(E43&lt;0,1,0)</f>
        <v>1</v>
      </c>
      <c r="J43" t="n">
        <v>21</v>
      </c>
      <c r="K43" s="11">
        <f>IF($J43&lt;=12,K42*(1+Inputs!$B$8+$B$10),K42*(1+Inputs!$B$9+$B$10))</f>
        <v>13889.8074839296</v>
      </c>
      <c r="L43" s="11">
        <f>K43-(Inputs!$B$11+IF($J43&gt;=Inputs!$B$13,Inputs!$B$12,0)+Inputs!$B$14+Inputs!$B$15+Inputs!$B$16+IF($J43=1,Inputs!$B$17,0))</f>
        <v>8189.8074839296</v>
      </c>
      <c r="M43" s="11">
        <f>M42+L43</f>
        <v>90734.7540473487</v>
      </c>
      <c r="N43" s="6">
        <f>MIN(L43,N44)</f>
        <v>8189.8074839296</v>
      </c>
      <c r="O43" s="6">
        <f>IF(AND(L43&gt;=0,N43&gt;=0),1,0)</f>
        <v>1</v>
      </c>
      <c r="P43" s="6">
        <f>IF(M43&lt;0,1,0)</f>
        <v>0</v>
      </c>
    </row>
    <row r="44">
      <c r="B44" t="n">
        <v>22</v>
      </c>
      <c r="C44" s="11">
        <f>IF($B44&lt;=12,C43*(1+Inputs!$B$8+$B$8),C43*(1+Inputs!$B$9+$B$8))</f>
        <v>4353.3184298487</v>
      </c>
      <c r="D44" s="11">
        <f>C44-(Inputs!$B$11+IF($B44&gt;=Inputs!$B$13,Inputs!$B$12,0)+Inputs!$B$14+Inputs!$B$15+Inputs!$B$16+IF($B44=1,Inputs!$B$17,0))</f>
        <v>-1346.6815701513</v>
      </c>
      <c r="E44" s="11">
        <f>E43+D44</f>
        <v>-11390.0173977729</v>
      </c>
      <c r="F44" s="6">
        <f>MIN(D44,F45)</f>
        <v>-1346.6815701513</v>
      </c>
      <c r="G44" s="6">
        <f>IF(AND(D44&gt;=0,F44&gt;=0),1,0)</f>
        <v>0</v>
      </c>
      <c r="H44" s="6">
        <f>IF(E44&lt;0,1,0)</f>
        <v>1</v>
      </c>
      <c r="J44" t="n">
        <v>22</v>
      </c>
      <c r="K44" s="11">
        <f>IF($J44&lt;=12,K43*(1+Inputs!$B$8+$B$10),K43*(1+Inputs!$B$9+$B$10))</f>
        <v>14584.2978581261</v>
      </c>
      <c r="L44" s="11">
        <f>K44-(Inputs!$B$11+IF($J44&gt;=Inputs!$B$13,Inputs!$B$12,0)+Inputs!$B$14+Inputs!$B$15+Inputs!$B$16+IF($J44=1,Inputs!$B$17,0))</f>
        <v>8884.2978581261</v>
      </c>
      <c r="M44" s="11">
        <f>M43+L44</f>
        <v>99619.0519054748</v>
      </c>
      <c r="N44" s="6">
        <f>MIN(L44,N45)</f>
        <v>8884.2978581261</v>
      </c>
      <c r="O44" s="6">
        <f>IF(AND(L44&gt;=0,N44&gt;=0),1,0)</f>
        <v>1</v>
      </c>
      <c r="P44" s="6">
        <f>IF(M44&lt;0,1,0)</f>
        <v>0</v>
      </c>
    </row>
    <row r="45">
      <c r="B45" t="n">
        <v>23</v>
      </c>
      <c r="C45" s="11">
        <f>IF($B45&lt;=12,C44*(1+Inputs!$B$8+$B$8),C44*(1+Inputs!$B$9+$B$8))</f>
        <v>4396.8516141472</v>
      </c>
      <c r="D45" s="11">
        <f>C45-(Inputs!$B$11+IF($B45&gt;=Inputs!$B$13,Inputs!$B$12,0)+Inputs!$B$14+Inputs!$B$15+Inputs!$B$16+IF($B45=1,Inputs!$B$17,0))</f>
        <v>-1303.1483858528</v>
      </c>
      <c r="E45" s="11">
        <f>E44+D45</f>
        <v>-12693.1657836256</v>
      </c>
      <c r="F45" s="6">
        <f>MIN(D45,F46)</f>
        <v>-1303.1483858528</v>
      </c>
      <c r="G45" s="6">
        <f>IF(AND(D45&gt;=0,F45&gt;=0),1,0)</f>
        <v>0</v>
      </c>
      <c r="H45" s="6">
        <f>IF(E45&lt;0,1,0)</f>
        <v>1</v>
      </c>
      <c r="J45" t="n">
        <v>23</v>
      </c>
      <c r="K45" s="11">
        <f>IF($J45&lt;=12,K44*(1+Inputs!$B$8+$B$10),K44*(1+Inputs!$B$9+$B$10))</f>
        <v>15313.5127510324</v>
      </c>
      <c r="L45" s="11">
        <f>K45-(Inputs!$B$11+IF($J45&gt;=Inputs!$B$13,Inputs!$B$12,0)+Inputs!$B$14+Inputs!$B$15+Inputs!$B$16+IF($J45=1,Inputs!$B$17,0))</f>
        <v>9613.5127510324</v>
      </c>
      <c r="M45" s="11">
        <f>M44+L45</f>
        <v>109232.5646565072</v>
      </c>
      <c r="N45" s="6">
        <f>MIN(L45,N46)</f>
        <v>9613.5127510324</v>
      </c>
      <c r="O45" s="6">
        <f>IF(AND(L45&gt;=0,N45&gt;=0),1,0)</f>
        <v>1</v>
      </c>
      <c r="P45" s="6">
        <f>IF(M45&lt;0,1,0)</f>
        <v>0</v>
      </c>
    </row>
    <row r="46">
      <c r="B46" t="n">
        <v>24</v>
      </c>
      <c r="C46" s="11">
        <f>IF($B46&lt;=12,C45*(1+Inputs!$B$8+$B$8),C45*(1+Inputs!$B$9+$B$8))</f>
        <v>4440.8201302887</v>
      </c>
      <c r="D46" s="11">
        <f>C46-(Inputs!$B$11+IF($B46&gt;=Inputs!$B$13,Inputs!$B$12,0)+Inputs!$B$14+Inputs!$B$15+Inputs!$B$16+IF($B46=1,Inputs!$B$17,0))</f>
        <v>-1259.1798697113</v>
      </c>
      <c r="E46" s="11">
        <f>E45+D46</f>
        <v>-13952.3456533369</v>
      </c>
      <c r="F46" s="6">
        <f>MIN(D46,F47)</f>
        <v>-1259.1798697113</v>
      </c>
      <c r="G46" s="6">
        <f>IF(AND(D46&gt;=0,F46&gt;=0),1,0)</f>
        <v>0</v>
      </c>
      <c r="H46" s="6">
        <f>IF(E46&lt;0,1,0)</f>
        <v>1</v>
      </c>
      <c r="J46" t="n">
        <v>24</v>
      </c>
      <c r="K46" s="11">
        <f>IF($J46&lt;=12,K45*(1+Inputs!$B$8+$B$10),K45*(1+Inputs!$B$9+$B$10))</f>
        <v>16079.188388584</v>
      </c>
      <c r="L46" s="11">
        <f>K46-(Inputs!$B$11+IF($J46&gt;=Inputs!$B$13,Inputs!$B$12,0)+Inputs!$B$14+Inputs!$B$15+Inputs!$B$16+IF($J46=1,Inputs!$B$17,0))</f>
        <v>10379.188388584</v>
      </c>
      <c r="M46" s="11">
        <f>M45+L46</f>
        <v>119611.7530450912</v>
      </c>
      <c r="N46" s="6">
        <f>MIN(L46,N47)</f>
        <v>10379.188388584</v>
      </c>
      <c r="O46" s="6">
        <f>IF(AND(L46&gt;=0,N46&gt;=0),1,0)</f>
        <v>1</v>
      </c>
      <c r="P46" s="6">
        <f>IF(M46&lt;0,1,0)</f>
        <v>0</v>
      </c>
    </row>
    <row r="47">
      <c r="B47" t="n">
        <v>25</v>
      </c>
      <c r="C47" s="11">
        <f>IF($B47&lt;=12,C46*(1+Inputs!$B$8+$B$8),C46*(1+Inputs!$B$9+$B$8))</f>
        <v>4485.2283315916</v>
      </c>
      <c r="D47" s="11">
        <f>C47-(Inputs!$B$11+IF($B47&gt;=Inputs!$B$13,Inputs!$B$12,0)+Inputs!$B$14+Inputs!$B$15+Inputs!$B$16+IF($B47=1,Inputs!$B$17,0))</f>
        <v>-1214.7716684084</v>
      </c>
      <c r="E47" s="11">
        <f>E46+D47</f>
        <v>-15167.1173217454</v>
      </c>
      <c r="F47" s="6">
        <f>MIN(D47,F48)</f>
        <v>-1214.7716684084</v>
      </c>
      <c r="G47" s="6">
        <f>IF(AND(D47&gt;=0,F47&gt;=0),1,0)</f>
        <v>0</v>
      </c>
      <c r="H47" s="6">
        <f>IF(E47&lt;0,1,0)</f>
        <v>1</v>
      </c>
      <c r="J47" t="n">
        <v>25</v>
      </c>
      <c r="K47" s="11">
        <f>IF($J47&lt;=12,K46*(1+Inputs!$B$8+$B$10),K46*(1+Inputs!$B$9+$B$10))</f>
        <v>16883.1478080132</v>
      </c>
      <c r="L47" s="11">
        <f>K47-(Inputs!$B$11+IF($J47&gt;=Inputs!$B$13,Inputs!$B$12,0)+Inputs!$B$14+Inputs!$B$15+Inputs!$B$16+IF($J47=1,Inputs!$B$17,0))</f>
        <v>11183.1478080132</v>
      </c>
      <c r="M47" s="11">
        <f>M46+L47</f>
        <v>130794.9008531044</v>
      </c>
      <c r="N47" s="6">
        <f>MIN(L47,N48)</f>
        <v>11183.1478080132</v>
      </c>
      <c r="O47" s="6">
        <f>IF(AND(L47&gt;=0,N47&gt;=0),1,0)</f>
        <v>1</v>
      </c>
      <c r="P47" s="6">
        <f>IF(M47&lt;0,1,0)</f>
        <v>0</v>
      </c>
    </row>
    <row r="48">
      <c r="B48" t="n">
        <v>26</v>
      </c>
      <c r="C48" s="11">
        <f>IF($B48&lt;=12,C47*(1+Inputs!$B$8+$B$8),C47*(1+Inputs!$B$9+$B$8))</f>
        <v>4530.0806149075</v>
      </c>
      <c r="D48" s="11">
        <f>C48-(Inputs!$B$11+IF($B48&gt;=Inputs!$B$13,Inputs!$B$12,0)+Inputs!$B$14+Inputs!$B$15+Inputs!$B$16+IF($B48=1,Inputs!$B$17,0))</f>
        <v>-1169.9193850925</v>
      </c>
      <c r="E48" s="11">
        <f>E47+D48</f>
        <v>-16337.0367068379</v>
      </c>
      <c r="F48" s="6">
        <f>MIN(D48,F49)</f>
        <v>-1169.9193850925</v>
      </c>
      <c r="G48" s="6">
        <f>IF(AND(D48&gt;=0,F48&gt;=0),1,0)</f>
        <v>0</v>
      </c>
      <c r="H48" s="6">
        <f>IF(E48&lt;0,1,0)</f>
        <v>1</v>
      </c>
      <c r="J48" t="n">
        <v>26</v>
      </c>
      <c r="K48" s="11">
        <f>IF($J48&lt;=12,K47*(1+Inputs!$B$8+$B$10),K47*(1+Inputs!$B$9+$B$10))</f>
        <v>17727.3051984139</v>
      </c>
      <c r="L48" s="11">
        <f>K48-(Inputs!$B$11+IF($J48&gt;=Inputs!$B$13,Inputs!$B$12,0)+Inputs!$B$14+Inputs!$B$15+Inputs!$B$16+IF($J48=1,Inputs!$B$17,0))</f>
        <v>12027.3051984139</v>
      </c>
      <c r="M48" s="11">
        <f>M47+L48</f>
        <v>142822.2060515183</v>
      </c>
      <c r="N48" s="6">
        <f>MIN(L48,N49)</f>
        <v>12027.3051984139</v>
      </c>
      <c r="O48" s="6">
        <f>IF(AND(L48&gt;=0,N48&gt;=0),1,0)</f>
        <v>1</v>
      </c>
      <c r="P48" s="6">
        <f>IF(M48&lt;0,1,0)</f>
        <v>0</v>
      </c>
    </row>
    <row r="49">
      <c r="B49" t="n">
        <v>27</v>
      </c>
      <c r="C49" s="11">
        <f>IF($B49&lt;=12,C48*(1+Inputs!$B$8+$B$8),C48*(1+Inputs!$B$9+$B$8))</f>
        <v>4575.3814210566</v>
      </c>
      <c r="D49" s="11">
        <f>C49-(Inputs!$B$11+IF($B49&gt;=Inputs!$B$13,Inputs!$B$12,0)+Inputs!$B$14+Inputs!$B$15+Inputs!$B$16+IF($B49=1,Inputs!$B$17,0))</f>
        <v>-1124.6185789434</v>
      </c>
      <c r="E49" s="11">
        <f>E48+D49</f>
        <v>-17461.6552857813</v>
      </c>
      <c r="F49" s="6">
        <f>MIN(D49,F50)</f>
        <v>-1124.6185789434</v>
      </c>
      <c r="G49" s="6">
        <f>IF(AND(D49&gt;=0,F49&gt;=0),1,0)</f>
        <v>0</v>
      </c>
      <c r="H49" s="6">
        <f>IF(E49&lt;0,1,0)</f>
        <v>1</v>
      </c>
      <c r="J49" t="n">
        <v>27</v>
      </c>
      <c r="K49" s="11">
        <f>IF($J49&lt;=12,K48*(1+Inputs!$B$8+$B$10),K48*(1+Inputs!$B$9+$B$10))</f>
        <v>18613.6704583346</v>
      </c>
      <c r="L49" s="11">
        <f>K49-(Inputs!$B$11+IF($J49&gt;=Inputs!$B$13,Inputs!$B$12,0)+Inputs!$B$14+Inputs!$B$15+Inputs!$B$16+IF($J49=1,Inputs!$B$17,0))</f>
        <v>12913.6704583346</v>
      </c>
      <c r="M49" s="11">
        <f>M48+L49</f>
        <v>155735.8765098528</v>
      </c>
      <c r="N49" s="6">
        <f>MIN(L49,N50)</f>
        <v>12913.6704583346</v>
      </c>
      <c r="O49" s="6">
        <f>IF(AND(L49&gt;=0,N49&gt;=0),1,0)</f>
        <v>1</v>
      </c>
      <c r="P49" s="6">
        <f>IF(M49&lt;0,1,0)</f>
        <v>0</v>
      </c>
    </row>
    <row r="50">
      <c r="B50" t="n">
        <v>28</v>
      </c>
      <c r="C50" s="11">
        <f>IF($B50&lt;=12,C49*(1+Inputs!$B$8+$B$8),C49*(1+Inputs!$B$9+$B$8))</f>
        <v>4621.1352352671</v>
      </c>
      <c r="D50" s="11">
        <f>C50-(Inputs!$B$11+IF($B50&gt;=Inputs!$B$13,Inputs!$B$12,0)+Inputs!$B$14+Inputs!$B$15+Inputs!$B$16+IF($B50=1,Inputs!$B$17,0))</f>
        <v>-1078.8647647329</v>
      </c>
      <c r="E50" s="11">
        <f>E49+D50</f>
        <v>-18540.5200505141</v>
      </c>
      <c r="F50" s="6">
        <f>MIN(D50,F51)</f>
        <v>-1078.8647647329</v>
      </c>
      <c r="G50" s="6">
        <f>IF(AND(D50&gt;=0,F50&gt;=0),1,0)</f>
        <v>0</v>
      </c>
      <c r="H50" s="6">
        <f>IF(E50&lt;0,1,0)</f>
        <v>1</v>
      </c>
      <c r="J50" t="n">
        <v>28</v>
      </c>
      <c r="K50" s="11">
        <f>IF($J50&lt;=12,K49*(1+Inputs!$B$8+$B$10),K49*(1+Inputs!$B$9+$B$10))</f>
        <v>19544.3539812513</v>
      </c>
      <c r="L50" s="11">
        <f>K50-(Inputs!$B$11+IF($J50&gt;=Inputs!$B$13,Inputs!$B$12,0)+Inputs!$B$14+Inputs!$B$15+Inputs!$B$16+IF($J50=1,Inputs!$B$17,0))</f>
        <v>13844.3539812513</v>
      </c>
      <c r="M50" s="11">
        <f>M49+L50</f>
        <v>169580.2304911041</v>
      </c>
      <c r="N50" s="6">
        <f>MIN(L50,N51)</f>
        <v>13844.3539812513</v>
      </c>
      <c r="O50" s="6">
        <f>IF(AND(L50&gt;=0,N50&gt;=0),1,0)</f>
        <v>1</v>
      </c>
      <c r="P50" s="6">
        <f>IF(M50&lt;0,1,0)</f>
        <v>0</v>
      </c>
    </row>
    <row r="51">
      <c r="B51" t="n">
        <v>29</v>
      </c>
      <c r="C51" s="11">
        <f>IF($B51&lt;=12,C50*(1+Inputs!$B$8+$B$8),C50*(1+Inputs!$B$9+$B$8))</f>
        <v>4667.3465876198</v>
      </c>
      <c r="D51" s="11">
        <f>C51-(Inputs!$B$11+IF($B51&gt;=Inputs!$B$13,Inputs!$B$12,0)+Inputs!$B$14+Inputs!$B$15+Inputs!$B$16+IF($B51=1,Inputs!$B$17,0))</f>
        <v>-1032.6534123802</v>
      </c>
      <c r="E51" s="11">
        <f>E50+D51</f>
        <v>-19573.1734628943</v>
      </c>
      <c r="F51" s="6">
        <f>MIN(D51,F52)</f>
        <v>-1032.6534123802</v>
      </c>
      <c r="G51" s="6">
        <f>IF(AND(D51&gt;=0,F51&gt;=0),1,0)</f>
        <v>0</v>
      </c>
      <c r="H51" s="6">
        <f>IF(E51&lt;0,1,0)</f>
        <v>1</v>
      </c>
      <c r="J51" t="n">
        <v>29</v>
      </c>
      <c r="K51" s="11">
        <f>IF($J51&lt;=12,K50*(1+Inputs!$B$8+$B$10),K50*(1+Inputs!$B$9+$B$10))</f>
        <v>20521.5716803139</v>
      </c>
      <c r="L51" s="11">
        <f>K51-(Inputs!$B$11+IF($J51&gt;=Inputs!$B$13,Inputs!$B$12,0)+Inputs!$B$14+Inputs!$B$15+Inputs!$B$16+IF($J51=1,Inputs!$B$17,0))</f>
        <v>14821.5716803139</v>
      </c>
      <c r="M51" s="11">
        <f>M50+L51</f>
        <v>184401.802171418</v>
      </c>
      <c r="N51" s="6">
        <f>MIN(L51,N52)</f>
        <v>14821.5716803139</v>
      </c>
      <c r="O51" s="6">
        <f>IF(AND(L51&gt;=0,N51&gt;=0),1,0)</f>
        <v>1</v>
      </c>
      <c r="P51" s="6">
        <f>IF(M51&lt;0,1,0)</f>
        <v>0</v>
      </c>
    </row>
    <row r="52">
      <c r="B52" t="n">
        <v>30</v>
      </c>
      <c r="C52" s="11">
        <f>IF($B52&lt;=12,C51*(1+Inputs!$B$8+$B$8),C51*(1+Inputs!$B$9+$B$8))</f>
        <v>4714.020053496</v>
      </c>
      <c r="D52" s="11">
        <f>C52-(Inputs!$B$11+IF($B52&gt;=Inputs!$B$13,Inputs!$B$12,0)+Inputs!$B$14+Inputs!$B$15+Inputs!$B$16+IF($B52=1,Inputs!$B$17,0))</f>
        <v>-985.979946504</v>
      </c>
      <c r="E52" s="11">
        <f>E51+D52</f>
        <v>-20559.1534093983</v>
      </c>
      <c r="F52" s="6">
        <f>MIN(D52,F53)</f>
        <v>-985.979946504</v>
      </c>
      <c r="G52" s="6">
        <f>IF(AND(D52&gt;=0,F52&gt;=0),1,0)</f>
        <v>0</v>
      </c>
      <c r="H52" s="6">
        <f>IF(E52&lt;0,1,0)</f>
        <v>1</v>
      </c>
      <c r="J52" t="n">
        <v>30</v>
      </c>
      <c r="K52" s="11">
        <f>IF($J52&lt;=12,K51*(1+Inputs!$B$8+$B$10),K51*(1+Inputs!$B$9+$B$10))</f>
        <v>21547.6502643296</v>
      </c>
      <c r="L52" s="11">
        <f>K52-(Inputs!$B$11+IF($J52&gt;=Inputs!$B$13,Inputs!$B$12,0)+Inputs!$B$14+Inputs!$B$15+Inputs!$B$16+IF($J52=1,Inputs!$B$17,0))</f>
        <v>15847.6502643296</v>
      </c>
      <c r="M52" s="11">
        <f>M51+L52</f>
        <v>200249.4524357475</v>
      </c>
      <c r="N52" s="6">
        <f>MIN(L52,N53)</f>
        <v>15847.6502643296</v>
      </c>
      <c r="O52" s="6">
        <f>IF(AND(L52&gt;=0,N52&gt;=0),1,0)</f>
        <v>1</v>
      </c>
      <c r="P52" s="6">
        <f>IF(M52&lt;0,1,0)</f>
        <v>0</v>
      </c>
    </row>
    <row r="53">
      <c r="B53" t="n">
        <v>31</v>
      </c>
      <c r="C53" s="11">
        <f>IF($B53&lt;=12,C52*(1+Inputs!$B$8+$B$8),C52*(1+Inputs!$B$9+$B$8))</f>
        <v>4761.160254031</v>
      </c>
      <c r="D53" s="11">
        <f>C53-(Inputs!$B$11+IF($B53&gt;=Inputs!$B$13,Inputs!$B$12,0)+Inputs!$B$14+Inputs!$B$15+Inputs!$B$16+IF($B53=1,Inputs!$B$17,0))</f>
        <v>-938.839745969</v>
      </c>
      <c r="E53" s="11">
        <f>E52+D53</f>
        <v>-21497.9931553674</v>
      </c>
      <c r="F53" s="6">
        <f>MIN(D53,F54)</f>
        <v>-938.839745969</v>
      </c>
      <c r="G53" s="6">
        <f>IF(AND(D53&gt;=0,F53&gt;=0),1,0)</f>
        <v>0</v>
      </c>
      <c r="H53" s="6">
        <f>IF(E53&lt;0,1,0)</f>
        <v>1</v>
      </c>
      <c r="J53" t="n">
        <v>31</v>
      </c>
      <c r="K53" s="11">
        <f>IF($J53&lt;=12,K52*(1+Inputs!$B$8+$B$10),K52*(1+Inputs!$B$9+$B$10))</f>
        <v>22625.032777546</v>
      </c>
      <c r="L53" s="11">
        <f>K53-(Inputs!$B$11+IF($J53&gt;=Inputs!$B$13,Inputs!$B$12,0)+Inputs!$B$14+Inputs!$B$15+Inputs!$B$16+IF($J53=1,Inputs!$B$17,0))</f>
        <v>16925.032777546</v>
      </c>
      <c r="M53" s="11">
        <f>M52+L53</f>
        <v>217174.4852132936</v>
      </c>
      <c r="N53" s="6">
        <f>MIN(L53,N54)</f>
        <v>16925.032777546</v>
      </c>
      <c r="O53" s="6">
        <f>IF(AND(L53&gt;=0,N53&gt;=0),1,0)</f>
        <v>1</v>
      </c>
      <c r="P53" s="6">
        <f>IF(M53&lt;0,1,0)</f>
        <v>0</v>
      </c>
    </row>
    <row r="54">
      <c r="B54" t="n">
        <v>32</v>
      </c>
      <c r="C54" s="11">
        <f>IF($B54&lt;=12,C53*(1+Inputs!$B$8+$B$8),C53*(1+Inputs!$B$9+$B$8))</f>
        <v>4808.7718565713</v>
      </c>
      <c r="D54" s="11">
        <f>C54-(Inputs!$B$11+IF($B54&gt;=Inputs!$B$13,Inputs!$B$12,0)+Inputs!$B$14+Inputs!$B$15+Inputs!$B$16+IF($B54=1,Inputs!$B$17,0))</f>
        <v>-891.2281434287</v>
      </c>
      <c r="E54" s="11">
        <f>E53+D54</f>
        <v>-22389.2212987961</v>
      </c>
      <c r="F54" s="6">
        <f>MIN(D54,F55)</f>
        <v>-891.2281434287</v>
      </c>
      <c r="G54" s="6">
        <f>IF(AND(D54&gt;=0,F54&gt;=0),1,0)</f>
        <v>0</v>
      </c>
      <c r="H54" s="6">
        <f>IF(E54&lt;0,1,0)</f>
        <v>1</v>
      </c>
      <c r="J54" t="n">
        <v>32</v>
      </c>
      <c r="K54" s="11">
        <f>IF($J54&lt;=12,K53*(1+Inputs!$B$8+$B$10),K53*(1+Inputs!$B$9+$B$10))</f>
        <v>23756.2844164233</v>
      </c>
      <c r="L54" s="11">
        <f>K54-(Inputs!$B$11+IF($J54&gt;=Inputs!$B$13,Inputs!$B$12,0)+Inputs!$B$14+Inputs!$B$15+Inputs!$B$16+IF($J54=1,Inputs!$B$17,0))</f>
        <v>18056.2844164233</v>
      </c>
      <c r="M54" s="11">
        <f>M53+L54</f>
        <v>235230.7696297169</v>
      </c>
      <c r="N54" s="6">
        <f>MIN(L54,N55)</f>
        <v>18056.2844164233</v>
      </c>
      <c r="O54" s="6">
        <f>IF(AND(L54&gt;=0,N54&gt;=0),1,0)</f>
        <v>1</v>
      </c>
      <c r="P54" s="6">
        <f>IF(M54&lt;0,1,0)</f>
        <v>0</v>
      </c>
    </row>
    <row r="55">
      <c r="B55" t="n">
        <v>33</v>
      </c>
      <c r="C55" s="11">
        <f>IF($B55&lt;=12,C54*(1+Inputs!$B$8+$B$8),C54*(1+Inputs!$B$9+$B$8))</f>
        <v>4856.859575137</v>
      </c>
      <c r="D55" s="11">
        <f>C55-(Inputs!$B$11+IF($B55&gt;=Inputs!$B$13,Inputs!$B$12,0)+Inputs!$B$14+Inputs!$B$15+Inputs!$B$16+IF($B55=1,Inputs!$B$17,0))</f>
        <v>-843.140424863</v>
      </c>
      <c r="E55" s="11">
        <f>E54+D55</f>
        <v>-23232.3617236591</v>
      </c>
      <c r="F55" s="6">
        <f>MIN(D55,F56)</f>
        <v>-843.140424863</v>
      </c>
      <c r="G55" s="6">
        <f>IF(AND(D55&gt;=0,F55&gt;=0),1,0)</f>
        <v>0</v>
      </c>
      <c r="H55" s="6">
        <f>IF(E55&lt;0,1,0)</f>
        <v>1</v>
      </c>
      <c r="J55" t="n">
        <v>33</v>
      </c>
      <c r="K55" s="11">
        <f>IF($J55&lt;=12,K54*(1+Inputs!$B$8+$B$10),K54*(1+Inputs!$B$9+$B$10))</f>
        <v>24944.0986372445</v>
      </c>
      <c r="L55" s="11">
        <f>K55-(Inputs!$B$11+IF($J55&gt;=Inputs!$B$13,Inputs!$B$12,0)+Inputs!$B$14+Inputs!$B$15+Inputs!$B$16+IF($J55=1,Inputs!$B$17,0))</f>
        <v>19244.0986372445</v>
      </c>
      <c r="M55" s="11">
        <f>M54+L55</f>
        <v>254474.8682669614</v>
      </c>
      <c r="N55" s="6">
        <f>MIN(L55,N56)</f>
        <v>19244.0986372445</v>
      </c>
      <c r="O55" s="6">
        <f>IF(AND(L55&gt;=0,N55&gt;=0),1,0)</f>
        <v>1</v>
      </c>
      <c r="P55" s="6">
        <f>IF(M55&lt;0,1,0)</f>
        <v>0</v>
      </c>
    </row>
    <row r="56">
      <c r="B56" t="n">
        <v>34</v>
      </c>
      <c r="C56" s="11">
        <f>IF($B56&lt;=12,C55*(1+Inputs!$B$8+$B$8),C55*(1+Inputs!$B$9+$B$8))</f>
        <v>4905.4281708884</v>
      </c>
      <c r="D56" s="11">
        <f>C56-(Inputs!$B$11+IF($B56&gt;=Inputs!$B$13,Inputs!$B$12,0)+Inputs!$B$14+Inputs!$B$15+Inputs!$B$16+IF($B56=1,Inputs!$B$17,0))</f>
        <v>-794.5718291116</v>
      </c>
      <c r="E56" s="11">
        <f>E55+D56</f>
        <v>-24026.9335527707</v>
      </c>
      <c r="F56" s="6">
        <f>MIN(D56,F57)</f>
        <v>-794.5718291116</v>
      </c>
      <c r="G56" s="6">
        <f>IF(AND(D56&gt;=0,F56&gt;=0),1,0)</f>
        <v>0</v>
      </c>
      <c r="H56" s="6">
        <f>IF(E56&lt;0,1,0)</f>
        <v>1</v>
      </c>
      <c r="J56" t="n">
        <v>34</v>
      </c>
      <c r="K56" s="11">
        <f>IF($J56&lt;=12,K55*(1+Inputs!$B$8+$B$10),K55*(1+Inputs!$B$9+$B$10))</f>
        <v>26191.3035691067</v>
      </c>
      <c r="L56" s="11">
        <f>K56-(Inputs!$B$11+IF($J56&gt;=Inputs!$B$13,Inputs!$B$12,0)+Inputs!$B$14+Inputs!$B$15+Inputs!$B$16+IF($J56=1,Inputs!$B$17,0))</f>
        <v>20491.3035691067</v>
      </c>
      <c r="M56" s="11">
        <f>M55+L56</f>
        <v>274966.1718360682</v>
      </c>
      <c r="N56" s="6">
        <f>MIN(L56,N57)</f>
        <v>20491.3035691067</v>
      </c>
      <c r="O56" s="6">
        <f>IF(AND(L56&gt;=0,N56&gt;=0),1,0)</f>
        <v>1</v>
      </c>
      <c r="P56" s="6">
        <f>IF(M56&lt;0,1,0)</f>
        <v>0</v>
      </c>
    </row>
    <row r="57">
      <c r="B57" t="n">
        <v>35</v>
      </c>
      <c r="C57" s="11">
        <f>IF($B57&lt;=12,C56*(1+Inputs!$B$8+$B$8),C56*(1+Inputs!$B$9+$B$8))</f>
        <v>4954.4824525972</v>
      </c>
      <c r="D57" s="11">
        <f>C57-(Inputs!$B$11+IF($B57&gt;=Inputs!$B$13,Inputs!$B$12,0)+Inputs!$B$14+Inputs!$B$15+Inputs!$B$16+IF($B57=1,Inputs!$B$17,0))</f>
        <v>-745.5175474028</v>
      </c>
      <c r="E57" s="11">
        <f>E56+D57</f>
        <v>-24772.4511001735</v>
      </c>
      <c r="F57" s="6">
        <f>MIN(D57,F58)</f>
        <v>-745.5175474028</v>
      </c>
      <c r="G57" s="6">
        <f>IF(AND(D57&gt;=0,F57&gt;=0),1,0)</f>
        <v>0</v>
      </c>
      <c r="H57" s="6">
        <f>IF(E57&lt;0,1,0)</f>
        <v>1</v>
      </c>
      <c r="J57" t="n">
        <v>35</v>
      </c>
      <c r="K57" s="11">
        <f>IF($J57&lt;=12,K56*(1+Inputs!$B$8+$B$10),K56*(1+Inputs!$B$9+$B$10))</f>
        <v>27500.8687475621</v>
      </c>
      <c r="L57" s="11">
        <f>K57-(Inputs!$B$11+IF($J57&gt;=Inputs!$B$13,Inputs!$B$12,0)+Inputs!$B$14+Inputs!$B$15+Inputs!$B$16+IF($J57=1,Inputs!$B$17,0))</f>
        <v>21800.8687475621</v>
      </c>
      <c r="M57" s="11">
        <f>M56+L57</f>
        <v>296767.0405836302</v>
      </c>
      <c r="N57" s="6">
        <f>MIN(L57,N58)</f>
        <v>21800.8687475621</v>
      </c>
      <c r="O57" s="6">
        <f>IF(AND(L57&gt;=0,N57&gt;=0),1,0)</f>
        <v>1</v>
      </c>
      <c r="P57" s="6">
        <f>IF(M57&lt;0,1,0)</f>
        <v>0</v>
      </c>
    </row>
    <row r="58">
      <c r="B58" t="n">
        <v>36</v>
      </c>
      <c r="C58" s="11">
        <f>IF($B58&lt;=12,C57*(1+Inputs!$B$8+$B$8),C57*(1+Inputs!$B$9+$B$8))</f>
        <v>5004.0272771232</v>
      </c>
      <c r="D58" s="11">
        <f>C58-(Inputs!$B$11+IF($B58&gt;=Inputs!$B$13,Inputs!$B$12,0)+Inputs!$B$14+Inputs!$B$15+Inputs!$B$16+IF($B58=1,Inputs!$B$17,0))</f>
        <v>-695.9727228768</v>
      </c>
      <c r="E58" s="11">
        <f>E57+D58</f>
        <v>-25468.4238230503</v>
      </c>
      <c r="F58" s="6">
        <f>D58</f>
        <v>-695.9727228768</v>
      </c>
      <c r="G58" s="6">
        <f>IF(AND(D58&gt;=0,F58&gt;=0),1,0)</f>
        <v>0</v>
      </c>
      <c r="H58" s="6">
        <f>IF(E58&lt;0,1,0)</f>
        <v>1</v>
      </c>
      <c r="J58" t="n">
        <v>36</v>
      </c>
      <c r="K58" s="11">
        <f>IF($J58&lt;=12,K57*(1+Inputs!$B$8+$B$10),K57*(1+Inputs!$B$9+$B$10))</f>
        <v>28875.9121849402</v>
      </c>
      <c r="L58" s="11">
        <f>K58-(Inputs!$B$11+IF($J58&gt;=Inputs!$B$13,Inputs!$B$12,0)+Inputs!$B$14+Inputs!$B$15+Inputs!$B$16+IF($J58=1,Inputs!$B$17,0))</f>
        <v>23175.9121849402</v>
      </c>
      <c r="M58" s="11">
        <f>M57+L58</f>
        <v>319942.9527685704</v>
      </c>
      <c r="N58" s="6">
        <f>L58</f>
        <v>23175.9121849402</v>
      </c>
      <c r="O58" s="6">
        <f>IF(AND(L58&gt;=0,N58&gt;=0),1,0)</f>
        <v>1</v>
      </c>
      <c r="P58" s="6">
        <f>IF(M58&lt;0,1,0)</f>
        <v>0</v>
      </c>
    </row>
  </sheetData>
  <mergeCells count="10">
    <mergeCell ref="C9:P9"/>
    <mergeCell ref="C8:P8"/>
    <mergeCell ref="A1:P1"/>
    <mergeCell ref="B21:H21"/>
    <mergeCell ref="C7:P7"/>
    <mergeCell ref="C10:P10"/>
    <mergeCell ref="J21:P21"/>
    <mergeCell ref="A12:P12"/>
    <mergeCell ref="A4:P4"/>
    <mergeCell ref="A2:P2"/>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56" customWidth="1" min="1" max="1"/>
    <col width="20" customWidth="1" min="2" max="2"/>
    <col width="14" customWidth="1" min="3" max="3"/>
    <col width="14" customWidth="1" min="4" max="4"/>
    <col width="14" customWidth="1" min="5" max="5"/>
    <col width="14" customWidth="1" min="6" max="6"/>
  </cols>
  <sheetData>
    <row r="1" ht="26" customHeight="1">
      <c r="A1" s="1" t="inlineStr">
        <is>
          <t>FINANCIAL FORECAST — DASHBOARD</t>
        </is>
      </c>
    </row>
    <row r="2" ht="6" customHeight="1">
      <c r="A2" s="2" t="n"/>
    </row>
    <row r="4">
      <c r="A4" s="12" t="inlineStr">
        <is>
          <t>THE ONE NUMBER — HOW LONG THE CASH LASTS</t>
        </is>
      </c>
    </row>
    <row r="5">
      <c r="A5" s="16" t="str">
        <f>IF(Forecast!F44&gt;0,"Cash never runs out on the Base plan. The lowest point is £"&amp;TEXT(Forecast!F44,"#,##0")&amp;" in month "&amp;Forecast!F45&amp;" — and even there you hold "&amp;TEXT(Forecast!F44/INDEX(Forecast!$J$5:$J$40,Forecast!F45),"0.0")&amp;" months of costs in the bank.","Cash runs out in month "&amp;Forecast!F46&amp;" on the Base plan — a runway of "&amp;TEXT(Forecast!F46-1,"0")&amp;" full months. The plan needs more funding, lower costs or faster revenue before that month arrives.")</f>
        <v>Cash never runs out on the Base plan. The lowest point is £19,079 in month 10 — and even there you hold 3.3 months of costs in the bank.</v>
      </c>
    </row>
    <row r="6"/>
    <row r="8">
      <c r="A8" s="12" t="inlineStr">
        <is>
          <t>THE FUNDING TEST — DOES THE ASK COVER THE HOLE?</t>
        </is>
      </c>
    </row>
    <row r="9">
      <c r="A9" t="inlineStr">
        <is>
          <t>Funding you are asking for</t>
        </is>
      </c>
      <c r="B9" s="11">
        <f>Inputs!$B$6</f>
        <v>25000</v>
      </c>
    </row>
    <row r="10">
      <c r="A10" t="inlineStr">
        <is>
          <t>Lowest cash WITHOUT the funding</t>
        </is>
      </c>
      <c r="B10" s="11">
        <f>MIN(Forecast!Q5:Q40)</f>
        <v>-5921.4561843811</v>
      </c>
    </row>
    <row r="11">
      <c r="A11" t="inlineStr">
        <is>
          <t>Funding actually needed (deepest hole lifted to £0)</t>
        </is>
      </c>
      <c r="B11" s="11">
        <f>Forecast!F47</f>
        <v>5921.4561843811</v>
      </c>
    </row>
    <row r="12">
      <c r="A12" t="inlineStr">
        <is>
          <t>Headroom after covering the hole</t>
        </is>
      </c>
      <c r="B12" s="11">
        <f>Forecast!F50</f>
        <v>19078.5438156189</v>
      </c>
    </row>
    <row r="13">
      <c r="A13" s="3" t="str">
        <f>Forecast!F49</f>
        <v>YES — the ask covers the deepest hole, with £19,079 to spare</v>
      </c>
    </row>
    <row r="14"/>
    <row r="16">
      <c r="A16" s="12" t="inlineStr">
        <is>
          <t>BREAK-EVEN AND YEAR 1 — BASE PLAN</t>
        </is>
      </c>
    </row>
    <row r="17">
      <c r="A17" t="inlineStr">
        <is>
          <t>Break-even month</t>
        </is>
      </c>
      <c r="B17" s="14">
        <f>Forecast!F43</f>
        <v>11</v>
      </c>
    </row>
    <row r="18">
      <c r="A18" t="inlineStr">
        <is>
          <t>Year-1 revenue</t>
        </is>
      </c>
      <c r="B18" s="15">
        <f>Forecast!B54</f>
        <v>53983.8118312294</v>
      </c>
    </row>
    <row r="19">
      <c r="A19" t="inlineStr">
        <is>
          <t>Year-1 profit / (loss)</t>
        </is>
      </c>
      <c r="B19" s="15">
        <f>Forecast!B56</f>
        <v>-13516.1881687706</v>
      </c>
    </row>
    <row r="20">
      <c r="A20" t="inlineStr">
        <is>
          <t>Lowest closing cash</t>
        </is>
      </c>
      <c r="B20" s="11">
        <f>Forecast!F44</f>
        <v>19078.5438156189</v>
      </c>
    </row>
    <row r="21">
      <c r="A21" t="inlineStr">
        <is>
          <t>Month of the lowest cash</t>
        </is>
      </c>
      <c r="B21" s="14">
        <f>Forecast!F45</f>
        <v>10</v>
      </c>
    </row>
    <row r="23">
      <c r="A23" s="12" t="inlineStr">
        <is>
          <t>BENCHMARKS — YOU AGAINST THE SECTOR</t>
        </is>
      </c>
    </row>
    <row r="24">
      <c r="A24" t="inlineStr">
        <is>
          <t>Your gross margin, year 1 (revenue less delivery staff)</t>
        </is>
      </c>
      <c r="B24" s="17">
        <f>(Forecast!B54-SUM(Forecast!E5:E16))/Forecast!B54</f>
        <v>0.6999100388</v>
      </c>
    </row>
    <row r="25">
      <c r="A25" t="inlineStr">
        <is>
          <t>Typical gross margin for your kind of business (benchmark)</t>
        </is>
      </c>
      <c r="B25" s="17">
        <f>Inputs!$B$19</f>
        <v>0.65</v>
      </c>
    </row>
    <row r="26">
      <c r="A26" t="inlineStr">
        <is>
          <t>Gap (you − benchmark)</t>
        </is>
      </c>
      <c r="B26" s="17">
        <f>B24-B25</f>
        <v>0.0499100388</v>
      </c>
    </row>
    <row r="27">
      <c r="A27" t="inlineStr">
        <is>
          <t>Months of costs held at your lowest cash point</t>
        </is>
      </c>
      <c r="B27" s="18">
        <f>B20/INDEX(Forecast!$J$5:$J$40,B21)</f>
        <v>3.3471129501</v>
      </c>
    </row>
    <row r="28">
      <c r="A28" t="inlineStr">
        <is>
          <t>Months of cash cover lenders like to see (benchmark)</t>
        </is>
      </c>
      <c r="B28" s="14">
        <f>Inputs!$B$20</f>
        <v>12</v>
      </c>
    </row>
    <row r="29">
      <c r="A29" s="4" t="str">
        <f>IF(B27&gt;=B28,"At its lowest point you hold "&amp;TEXT(B27,"0.0")&amp;" months of costs — at or above the "&amp;TEXT(B28,"0")&amp;" months lenders like to see. The cushion passes the benchmark.","At its lowest point you hold "&amp;TEXT(B27,"0.0")&amp;" months of costs, against the "&amp;TEXT(B28,"0")&amp;" months lenders like to see. A lender will probe this. Your answer is in the plan itself: revenue grows every month while costs stay flat, so after month "&amp;TEXT(Forecast!F45,"0")&amp;" the cushion only thickens.")</f>
        <v>At its lowest point you hold 3.3 months of costs, against the 12 months lenders like to see. A lender will probe this. Your answer is in the plan itself: revenue grows every month while costs stay flat, so after month 10 the cushion only thickens.</v>
      </c>
    </row>
    <row r="30"/>
  </sheetData>
  <mergeCells count="9">
    <mergeCell ref="A2:F2"/>
    <mergeCell ref="A16:F16"/>
    <mergeCell ref="A1:F1"/>
    <mergeCell ref="A23:F23"/>
    <mergeCell ref="A5:F6"/>
    <mergeCell ref="A8:F8"/>
    <mergeCell ref="A4:F4"/>
    <mergeCell ref="A13:F14"/>
    <mergeCell ref="A29:F30"/>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2026-10-24T13:50:59+00:00Z</dcterms:created>
  <dcterms:modified xmlns:dcterms="http://purl.org/dc/terms/" xmlns:xsi="http://www.w3.org/2001/XMLSchema-instance" xsi:type="dcterms:W3CDTF">2026-10-24T13:50:59+00:00Z</dcterms:modified>
</cp:coreProperties>
</file>